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mprojg-my.sharepoint.com/personal/jg_improjg_onmicrosoft_com/Documents/INWESTYCJE/Gdańska 23/Oferta/"/>
    </mc:Choice>
  </mc:AlternateContent>
  <xr:revisionPtr revIDLastSave="64" documentId="13_ncr:1_{384A635E-2334-4444-907F-CE0D6A168A1E}" xr6:coauthVersionLast="47" xr6:coauthVersionMax="47" xr10:uidLastSave="{6F605CF5-7DCB-4567-9514-D9DEEA0847C8}"/>
  <bookViews>
    <workbookView xWindow="-120" yWindow="-120" windowWidth="29040" windowHeight="15840" xr2:uid="{00000000-000D-0000-FFFF-FFFF00000000}"/>
  </bookViews>
  <sheets>
    <sheet name="Analiza podstawowa" sheetId="1" r:id="rId1"/>
  </sheets>
  <definedNames>
    <definedName name="Z_5C97960D_1A0F_42A4_942F_A6E68C8CF6BC_.wvu.Cols" localSheetId="0" hidden="1">'Analiza podstawowa'!#REF!</definedName>
    <definedName name="Z_5C97960D_1A0F_42A4_942F_A6E68C8CF6BC_.wvu.Rows" localSheetId="0" hidden="1">'Analiza podstawowa'!#REF!,'Analiza podstawowa'!$35:$54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19" i="1" l="1"/>
  <c r="F11" i="1"/>
  <c r="D20" i="1"/>
  <c r="C55" i="1"/>
  <c r="C56" i="1"/>
  <c r="D32" i="1"/>
  <c r="D15" i="1"/>
  <c r="D42" i="1"/>
  <c r="D31" i="1"/>
  <c r="D51" i="1"/>
  <c r="D25" i="1" l="1"/>
  <c r="D35" i="1" s="1"/>
  <c r="D36" i="1" l="1"/>
  <c r="D44" i="1"/>
  <c r="D45" i="1" s="1"/>
  <c r="D43" i="1"/>
  <c r="D46" i="1" s="1"/>
  <c r="D55" i="1" s="1"/>
  <c r="F13" i="1" l="1"/>
  <c r="D56" i="1" s="1"/>
  <c r="D57" i="1" s="1"/>
  <c r="D58" i="1" s="1"/>
  <c r="D47" i="1"/>
  <c r="D52" i="1"/>
  <c r="D53" i="1" l="1"/>
</calcChain>
</file>

<file path=xl/sharedStrings.xml><?xml version="1.0" encoding="utf-8"?>
<sst xmlns="http://schemas.openxmlformats.org/spreadsheetml/2006/main" count="64" uniqueCount="60">
  <si>
    <t>Dane podstawowe</t>
  </si>
  <si>
    <t>Metraż</t>
  </si>
  <si>
    <t>Piętro</t>
  </si>
  <si>
    <t>Cena ofertowa</t>
  </si>
  <si>
    <t>Koszt inwestycji</t>
  </si>
  <si>
    <t>Stan prawny</t>
  </si>
  <si>
    <t>Szacowany koszt remontu</t>
  </si>
  <si>
    <t>Rata kredytowa</t>
  </si>
  <si>
    <t>Rodzaj i technologia budynku</t>
  </si>
  <si>
    <t>Liczba pokoi</t>
  </si>
  <si>
    <t>Taksa notarialna</t>
  </si>
  <si>
    <t>Prowizja pośrednika brutto</t>
  </si>
  <si>
    <t>spółdzielcze własnościowe z KW</t>
  </si>
  <si>
    <t>spółdzielcze własnościowe bez KW</t>
  </si>
  <si>
    <t>nowe budownictwo</t>
  </si>
  <si>
    <t>wielka płyta – niski blok</t>
  </si>
  <si>
    <t>wielka płyta – wysoki blok</t>
  </si>
  <si>
    <t>średnia odsetek za 1 rok</t>
  </si>
  <si>
    <t>Dane finansowe</t>
  </si>
  <si>
    <t>Dane kredytowe</t>
  </si>
  <si>
    <t>Pozostałe koszty</t>
  </si>
  <si>
    <t>Ilość lat</t>
  </si>
  <si>
    <t>Marża banku</t>
  </si>
  <si>
    <t>Oprocentowanie</t>
  </si>
  <si>
    <t>Suma kosztów inwestycji</t>
  </si>
  <si>
    <t>Kwota kredytu</t>
  </si>
  <si>
    <t>Inne koszty</t>
  </si>
  <si>
    <t>Stopa zwrotu (ROE)</t>
  </si>
  <si>
    <t>Dane z wynajmu mieszkania</t>
  </si>
  <si>
    <t>Podatek</t>
  </si>
  <si>
    <t>Zysk po opodatkowaniu</t>
  </si>
  <si>
    <t>stare budownictwo - cegła</t>
  </si>
  <si>
    <t>Ryczałt 8,5%</t>
  </si>
  <si>
    <t>Podatek dochodowy</t>
  </si>
  <si>
    <t>Podatek PCC</t>
  </si>
  <si>
    <t>Cena za metr kwadratowy</t>
  </si>
  <si>
    <t>Dodatkowe informacje (okna, podłogi, ściany, łazienka, kuchnia, meble, ogrzewanie)</t>
  </si>
  <si>
    <t>Analiza finansowa - cashflow</t>
  </si>
  <si>
    <t>Wkład własny</t>
  </si>
  <si>
    <t>WIBOR 3M</t>
  </si>
  <si>
    <t xml:space="preserve">           Koszty zarządzania</t>
  </si>
  <si>
    <t>odrębna własność</t>
  </si>
  <si>
    <t>Koszty okołokredytowe</t>
  </si>
  <si>
    <t>Współczynnik rentowności</t>
  </si>
  <si>
    <t>Umeblowanie i wyposażenie</t>
  </si>
  <si>
    <t>Przychód z najmu</t>
  </si>
  <si>
    <t xml:space="preserve">    Podatek dochodowy</t>
  </si>
  <si>
    <t xml:space="preserve">            Amortyzacja</t>
  </si>
  <si>
    <t xml:space="preserve">       Prowizja przy wynajmie</t>
  </si>
  <si>
    <t>Współczynnik rentowności z zarządzaniem</t>
  </si>
  <si>
    <t>Czynsz do spółdzielni/wspólnoty</t>
  </si>
  <si>
    <t>Szacowany koszt zużycia mediów</t>
  </si>
  <si>
    <r>
      <rPr>
        <b/>
        <u/>
        <sz val="12"/>
        <color indexed="8"/>
        <rFont val="Calibri"/>
        <family val="2"/>
        <charset val="238"/>
      </rPr>
      <t>Analiza finansowa mieszkania dla inwestora</t>
    </r>
    <r>
      <rPr>
        <b/>
        <sz val="12"/>
        <color indexed="8"/>
        <rFont val="Calibri"/>
        <family val="2"/>
        <charset val="238"/>
      </rPr>
      <t xml:space="preserve"> (5.1) - Copyright © Hryniewicz.pl</t>
    </r>
  </si>
  <si>
    <t>link do google maps</t>
  </si>
  <si>
    <t>Łódź, Gdańska 23</t>
  </si>
  <si>
    <t>https://goo.gl/maps/ybTeKvLSwqdR4bsJ9</t>
  </si>
  <si>
    <t>3 z 4</t>
  </si>
  <si>
    <t>płatny przez najemców</t>
  </si>
  <si>
    <t>płatne przez najemców</t>
  </si>
  <si>
    <t>Mieszkanie po generalnym remoncie, ogrzewanie miejskie, przygotowane do najmu w ramach 3 pokoi premium (mikrokawalerek). Wystawiana jest osobna faktura na wyposażenie. Do kosztów miesięcznych należy doliczyć internet 59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</si>
</sst>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12"/>
      <color indexed="8"/>
      <name val="Calibri"/>
      <family val="2"/>
      <charset val="238"/>
    </font>
    <font>
      <b/>
      <u/>
      <sz val="12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6" tint="-0.49998474074526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rgb="FF82A20E"/>
        <bgColor indexed="64"/>
      </patternFill>
    </fill>
    <fill>
      <patternFill patternType="solid">
        <fgColor rgb="FFA8D1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C870B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5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8" fillId="2" borderId="2" xfId="3" applyFont="1" applyFill="1" applyBorder="1" applyAlignment="1" applyProtection="1">
      <alignment vertical="center"/>
      <protection hidden="1"/>
    </xf>
    <xf numFmtId="166" fontId="5" fillId="0" borderId="3" xfId="3" applyNumberFormat="1" applyFont="1" applyBorder="1" applyAlignment="1" applyProtection="1">
      <alignment horizontal="left" vertical="center"/>
      <protection locked="0"/>
    </xf>
    <xf numFmtId="0" fontId="0" fillId="3" borderId="4" xfId="0" applyFill="1" applyBorder="1" applyProtection="1">
      <protection hidden="1"/>
    </xf>
    <xf numFmtId="0" fontId="9" fillId="3" borderId="5" xfId="0" applyFont="1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8" fillId="4" borderId="2" xfId="3" applyFont="1" applyFill="1" applyBorder="1" applyAlignment="1" applyProtection="1">
      <alignment vertical="center"/>
      <protection hidden="1"/>
    </xf>
    <xf numFmtId="166" fontId="10" fillId="2" borderId="3" xfId="3" applyNumberFormat="1" applyFont="1" applyFill="1" applyBorder="1" applyAlignment="1" applyProtection="1">
      <alignment horizontal="left" vertic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2" fontId="11" fillId="5" borderId="3" xfId="5" applyNumberFormat="1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Protection="1">
      <protection hidden="1"/>
    </xf>
    <xf numFmtId="0" fontId="5" fillId="2" borderId="1" xfId="3" applyFont="1" applyFill="1" applyBorder="1" applyAlignment="1" applyProtection="1">
      <alignment horizontal="center" vertical="center" wrapText="1"/>
      <protection hidden="1"/>
    </xf>
    <xf numFmtId="166" fontId="5" fillId="2" borderId="3" xfId="3" applyNumberFormat="1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/>
      <protection locked="0"/>
    </xf>
    <xf numFmtId="0" fontId="5" fillId="2" borderId="2" xfId="3" applyFont="1" applyFill="1" applyBorder="1" applyAlignment="1" applyProtection="1">
      <alignment horizontal="right" vertical="center"/>
      <protection hidden="1"/>
    </xf>
    <xf numFmtId="0" fontId="5" fillId="2" borderId="1" xfId="3" applyFont="1" applyFill="1" applyBorder="1" applyAlignment="1" applyProtection="1">
      <alignment horizontal="center" vertical="center"/>
      <protection hidden="1"/>
    </xf>
    <xf numFmtId="0" fontId="5" fillId="0" borderId="3" xfId="3" applyFont="1" applyBorder="1" applyAlignment="1" applyProtection="1">
      <alignment horizontal="left" vertical="center"/>
      <protection locked="0"/>
    </xf>
    <xf numFmtId="0" fontId="12" fillId="6" borderId="2" xfId="3" applyFont="1" applyFill="1" applyBorder="1" applyAlignment="1" applyProtection="1">
      <alignment horizontal="right" vertical="center"/>
      <protection hidden="1"/>
    </xf>
    <xf numFmtId="0" fontId="12" fillId="6" borderId="1" xfId="3" applyFont="1" applyFill="1" applyBorder="1" applyAlignment="1" applyProtection="1">
      <alignment horizontal="center" vertical="center"/>
      <protection hidden="1"/>
    </xf>
    <xf numFmtId="166" fontId="12" fillId="0" borderId="3" xfId="3" applyNumberFormat="1" applyFont="1" applyBorder="1" applyAlignment="1" applyProtection="1">
      <alignment horizontal="left" vertical="center"/>
      <protection locked="0"/>
    </xf>
    <xf numFmtId="166" fontId="12" fillId="6" borderId="3" xfId="3" applyNumberFormat="1" applyFont="1" applyFill="1" applyBorder="1" applyAlignment="1" applyProtection="1">
      <alignment horizontal="left" vertical="center"/>
      <protection hidden="1"/>
    </xf>
    <xf numFmtId="0" fontId="13" fillId="2" borderId="2" xfId="3" applyFont="1" applyFill="1" applyBorder="1" applyAlignment="1" applyProtection="1">
      <alignment horizontal="right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0" borderId="3" xfId="3" applyFont="1" applyBorder="1" applyAlignment="1" applyProtection="1">
      <alignment horizontal="left" vertical="center"/>
      <protection locked="0"/>
    </xf>
    <xf numFmtId="10" fontId="13" fillId="2" borderId="2" xfId="3" applyNumberFormat="1" applyFont="1" applyFill="1" applyBorder="1" applyAlignment="1" applyProtection="1">
      <alignment horizontal="right" vertical="center"/>
      <protection hidden="1"/>
    </xf>
    <xf numFmtId="10" fontId="13" fillId="2" borderId="1" xfId="3" applyNumberFormat="1" applyFont="1" applyFill="1" applyBorder="1" applyAlignment="1" applyProtection="1">
      <alignment horizontal="center" vertical="center"/>
      <protection hidden="1"/>
    </xf>
    <xf numFmtId="10" fontId="13" fillId="0" borderId="3" xfId="3" applyNumberFormat="1" applyFont="1" applyBorder="1" applyAlignment="1" applyProtection="1">
      <alignment horizontal="left" vertical="center"/>
      <protection locked="0"/>
    </xf>
    <xf numFmtId="10" fontId="14" fillId="2" borderId="3" xfId="3" applyNumberFormat="1" applyFont="1" applyFill="1" applyBorder="1" applyAlignment="1" applyProtection="1">
      <alignment horizontal="left" vertical="center"/>
      <protection hidden="1"/>
    </xf>
    <xf numFmtId="164" fontId="13" fillId="2" borderId="2" xfId="3" applyNumberFormat="1" applyFont="1" applyFill="1" applyBorder="1" applyAlignment="1" applyProtection="1">
      <alignment horizontal="right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166" fontId="13" fillId="0" borderId="3" xfId="3" applyNumberFormat="1" applyFont="1" applyBorder="1" applyAlignment="1" applyProtection="1">
      <alignment horizontal="left" vertical="center"/>
      <protection locked="0"/>
    </xf>
    <xf numFmtId="164" fontId="8" fillId="2" borderId="2" xfId="3" applyNumberFormat="1" applyFont="1" applyFill="1" applyBorder="1" applyAlignment="1" applyProtection="1">
      <alignment horizontal="right" vertical="center"/>
      <protection hidden="1"/>
    </xf>
    <xf numFmtId="164" fontId="8" fillId="2" borderId="1" xfId="3" applyNumberFormat="1" applyFont="1" applyFill="1" applyBorder="1" applyAlignment="1" applyProtection="1">
      <alignment horizontal="center" vertical="center"/>
      <protection hidden="1"/>
    </xf>
    <xf numFmtId="166" fontId="8" fillId="0" borderId="3" xfId="3" applyNumberFormat="1" applyFont="1" applyBorder="1" applyAlignment="1" applyProtection="1">
      <alignment horizontal="left" vertical="center"/>
      <protection locked="0"/>
    </xf>
    <xf numFmtId="164" fontId="15" fillId="6" borderId="2" xfId="3" applyNumberFormat="1" applyFont="1" applyFill="1" applyBorder="1" applyAlignment="1" applyProtection="1">
      <alignment horizontal="right" vertical="center"/>
      <protection hidden="1"/>
    </xf>
    <xf numFmtId="164" fontId="15" fillId="6" borderId="1" xfId="3" applyNumberFormat="1" applyFont="1" applyFill="1" applyBorder="1" applyAlignment="1" applyProtection="1">
      <alignment horizontal="center" vertical="center"/>
      <protection hidden="1"/>
    </xf>
    <xf numFmtId="166" fontId="9" fillId="6" borderId="3" xfId="3" applyNumberFormat="1" applyFont="1" applyFill="1" applyBorder="1" applyAlignment="1" applyProtection="1">
      <alignment horizontal="left" vertical="center"/>
      <protection hidden="1"/>
    </xf>
    <xf numFmtId="164" fontId="16" fillId="6" borderId="2" xfId="3" applyNumberFormat="1" applyFont="1" applyFill="1" applyBorder="1" applyAlignment="1" applyProtection="1">
      <alignment horizontal="right" vertical="center"/>
      <protection hidden="1"/>
    </xf>
    <xf numFmtId="164" fontId="16" fillId="6" borderId="1" xfId="3" applyNumberFormat="1" applyFont="1" applyFill="1" applyBorder="1" applyAlignment="1" applyProtection="1">
      <alignment horizontal="center" vertical="center"/>
      <protection hidden="1"/>
    </xf>
    <xf numFmtId="166" fontId="17" fillId="6" borderId="3" xfId="3" applyNumberFormat="1" applyFont="1" applyFill="1" applyBorder="1" applyAlignment="1" applyProtection="1">
      <alignment horizontal="left" vertical="center"/>
      <protection hidden="1"/>
    </xf>
    <xf numFmtId="166" fontId="16" fillId="6" borderId="3" xfId="3" applyNumberFormat="1" applyFont="1" applyFill="1" applyBorder="1" applyAlignment="1" applyProtection="1">
      <alignment horizontal="left" vertical="center"/>
      <protection hidden="1"/>
    </xf>
    <xf numFmtId="0" fontId="5" fillId="2" borderId="2" xfId="3" applyFont="1" applyFill="1" applyBorder="1" applyAlignment="1" applyProtection="1">
      <alignment horizontal="right" vertical="center" wrapText="1"/>
      <protection hidden="1"/>
    </xf>
    <xf numFmtId="0" fontId="9" fillId="2" borderId="2" xfId="3" applyFont="1" applyFill="1" applyBorder="1" applyAlignment="1" applyProtection="1">
      <alignment horizontal="right" vertical="center" wrapText="1"/>
      <protection hidden="1"/>
    </xf>
    <xf numFmtId="9" fontId="5" fillId="7" borderId="1" xfId="3" applyNumberFormat="1" applyFont="1" applyFill="1" applyBorder="1" applyAlignment="1" applyProtection="1">
      <alignment horizontal="center" vertical="center" wrapText="1"/>
      <protection locked="0"/>
    </xf>
    <xf numFmtId="0" fontId="9" fillId="4" borderId="2" xfId="3" applyFont="1" applyFill="1" applyBorder="1" applyAlignment="1" applyProtection="1">
      <alignment horizontal="right" vertical="center"/>
      <protection hidden="1"/>
    </xf>
    <xf numFmtId="0" fontId="9" fillId="4" borderId="1" xfId="3" applyFont="1" applyFill="1" applyBorder="1" applyAlignment="1" applyProtection="1">
      <alignment horizontal="center" vertical="center"/>
      <protection hidden="1"/>
    </xf>
    <xf numFmtId="166" fontId="16" fillId="4" borderId="3" xfId="3" applyNumberFormat="1" applyFont="1" applyFill="1" applyBorder="1" applyAlignment="1" applyProtection="1">
      <alignment horizontal="left" vertical="center"/>
      <protection hidden="1"/>
    </xf>
    <xf numFmtId="0" fontId="12" fillId="4" borderId="2" xfId="3" applyFont="1" applyFill="1" applyBorder="1" applyAlignment="1" applyProtection="1">
      <alignment horizontal="right" vertical="center"/>
      <protection hidden="1"/>
    </xf>
    <xf numFmtId="0" fontId="12" fillId="4" borderId="1" xfId="3" applyFont="1" applyFill="1" applyBorder="1" applyAlignment="1" applyProtection="1">
      <alignment horizontal="center" vertical="center"/>
      <protection hidden="1"/>
    </xf>
    <xf numFmtId="166" fontId="10" fillId="4" borderId="3" xfId="3" applyNumberFormat="1" applyFont="1" applyFill="1" applyBorder="1" applyAlignment="1" applyProtection="1">
      <alignment horizontal="left" vertical="center"/>
      <protection hidden="1"/>
    </xf>
    <xf numFmtId="166" fontId="16" fillId="2" borderId="3" xfId="3" applyNumberFormat="1" applyFont="1" applyFill="1" applyBorder="1" applyAlignment="1" applyProtection="1">
      <alignment horizontal="left" vertical="center"/>
      <protection hidden="1"/>
    </xf>
    <xf numFmtId="0" fontId="12" fillId="2" borderId="1" xfId="3" applyFont="1" applyFill="1" applyBorder="1" applyAlignment="1" applyProtection="1">
      <alignment horizontal="center" vertical="center" wrapText="1"/>
      <protection hidden="1"/>
    </xf>
    <xf numFmtId="9" fontId="5" fillId="7" borderId="1" xfId="5" applyFill="1" applyBorder="1" applyAlignment="1" applyProtection="1">
      <alignment horizontal="center" vertical="center"/>
      <protection locked="0"/>
    </xf>
    <xf numFmtId="0" fontId="12" fillId="2" borderId="2" xfId="3" applyFont="1" applyFill="1" applyBorder="1" applyAlignment="1" applyProtection="1">
      <alignment horizontal="right" wrapText="1"/>
      <protection hidden="1"/>
    </xf>
    <xf numFmtId="165" fontId="5" fillId="7" borderId="1" xfId="5" applyNumberFormat="1" applyFill="1" applyBorder="1" applyAlignment="1" applyProtection="1">
      <alignment horizontal="center" vertical="center"/>
      <protection locked="0"/>
    </xf>
    <xf numFmtId="0" fontId="17" fillId="4" borderId="2" xfId="3" applyFont="1" applyFill="1" applyBorder="1" applyAlignment="1" applyProtection="1">
      <alignment horizontal="right" vertical="center" wrapText="1"/>
      <protection hidden="1"/>
    </xf>
    <xf numFmtId="0" fontId="9" fillId="4" borderId="1" xfId="3" applyFont="1" applyFill="1" applyBorder="1" applyAlignment="1" applyProtection="1">
      <alignment horizontal="center" vertical="center" wrapText="1"/>
      <protection hidden="1"/>
    </xf>
    <xf numFmtId="10" fontId="17" fillId="4" borderId="3" xfId="3" applyNumberFormat="1" applyFont="1" applyFill="1" applyBorder="1" applyAlignment="1" applyProtection="1">
      <alignment horizontal="left" vertical="center"/>
      <protection hidden="1"/>
    </xf>
    <xf numFmtId="0" fontId="17" fillId="2" borderId="2" xfId="3" applyFont="1" applyFill="1" applyBorder="1" applyAlignment="1" applyProtection="1">
      <alignment horizontal="right" vertical="center" wrapText="1"/>
      <protection hidden="1"/>
    </xf>
    <xf numFmtId="0" fontId="9" fillId="2" borderId="1" xfId="3" applyFont="1" applyFill="1" applyBorder="1" applyAlignment="1" applyProtection="1">
      <alignment horizontal="center" vertical="center" wrapText="1"/>
      <protection hidden="1"/>
    </xf>
    <xf numFmtId="10" fontId="17" fillId="2" borderId="3" xfId="3" applyNumberFormat="1" applyFont="1" applyFill="1" applyBorder="1" applyAlignment="1" applyProtection="1">
      <alignment horizontal="left" vertical="center"/>
      <protection hidden="1"/>
    </xf>
    <xf numFmtId="0" fontId="0" fillId="3" borderId="0" xfId="0" applyFill="1" applyProtection="1"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8" borderId="0" xfId="0" applyFill="1" applyProtection="1">
      <protection locked="0" hidden="1"/>
    </xf>
    <xf numFmtId="0" fontId="9" fillId="8" borderId="0" xfId="0" applyFont="1" applyFill="1" applyProtection="1">
      <protection locked="0" hidden="1"/>
    </xf>
    <xf numFmtId="0" fontId="0" fillId="9" borderId="0" xfId="0" applyFill="1" applyProtection="1">
      <protection locked="0" hidden="1"/>
    </xf>
    <xf numFmtId="0" fontId="0" fillId="10" borderId="0" xfId="0" applyFill="1" applyProtection="1">
      <protection locked="0" hidden="1"/>
    </xf>
    <xf numFmtId="8" fontId="0" fillId="10" borderId="0" xfId="0" applyNumberFormat="1" applyFill="1" applyProtection="1">
      <protection locked="0" hidden="1"/>
    </xf>
    <xf numFmtId="0" fontId="0" fillId="0" borderId="0" xfId="0" applyAlignment="1">
      <alignment horizontal="right"/>
    </xf>
    <xf numFmtId="0" fontId="9" fillId="3" borderId="7" xfId="0" applyFont="1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2" fontId="18" fillId="2" borderId="3" xfId="0" applyNumberFormat="1" applyFont="1" applyFill="1" applyBorder="1" applyAlignment="1" applyProtection="1">
      <alignment horizontal="center" vertical="center"/>
      <protection hidden="1"/>
    </xf>
    <xf numFmtId="0" fontId="6" fillId="0" borderId="3" xfId="1" applyBorder="1" applyAlignment="1" applyProtection="1">
      <alignment horizontal="left" vertical="center"/>
      <protection locked="0"/>
    </xf>
    <xf numFmtId="49" fontId="0" fillId="0" borderId="3" xfId="3" applyNumberFormat="1" applyFont="1" applyBorder="1" applyAlignment="1" applyProtection="1">
      <alignment horizontal="left" vertical="center"/>
      <protection locked="0"/>
    </xf>
    <xf numFmtId="0" fontId="3" fillId="4" borderId="11" xfId="3" applyFont="1" applyFill="1" applyBorder="1" applyAlignment="1" applyProtection="1">
      <alignment horizontal="center" vertical="center"/>
      <protection hidden="1"/>
    </xf>
    <xf numFmtId="0" fontId="17" fillId="4" borderId="11" xfId="3" applyFont="1" applyFill="1" applyBorder="1" applyAlignment="1" applyProtection="1">
      <alignment horizontal="center" vertical="center"/>
      <protection hidden="1"/>
    </xf>
    <xf numFmtId="0" fontId="11" fillId="5" borderId="2" xfId="3" applyFont="1" applyFill="1" applyBorder="1" applyAlignment="1" applyProtection="1">
      <alignment horizontal="center" vertical="center"/>
      <protection hidden="1"/>
    </xf>
    <xf numFmtId="0" fontId="11" fillId="5" borderId="1" xfId="3" applyFont="1" applyFill="1" applyBorder="1" applyAlignment="1" applyProtection="1">
      <alignment horizontal="center" vertical="center"/>
      <protection hidden="1"/>
    </xf>
    <xf numFmtId="0" fontId="11" fillId="5" borderId="3" xfId="3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2" xfId="0" applyFill="1" applyBorder="1" applyAlignment="1" applyProtection="1">
      <alignment horizontal="right" vertical="center" wrapText="1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19" fillId="11" borderId="2" xfId="3" applyFont="1" applyFill="1" applyBorder="1" applyAlignment="1" applyProtection="1">
      <alignment horizontal="center" vertical="center"/>
      <protection locked="0"/>
    </xf>
    <xf numFmtId="0" fontId="19" fillId="11" borderId="1" xfId="3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8" fillId="4" borderId="1" xfId="3" applyFont="1" applyFill="1" applyBorder="1" applyAlignment="1" applyProtection="1">
      <alignment horizontal="left" vertical="center"/>
      <protection hidden="1"/>
    </xf>
    <xf numFmtId="0" fontId="8" fillId="4" borderId="3" xfId="3" applyFont="1" applyFill="1" applyBorder="1" applyAlignment="1" applyProtection="1">
      <alignment horizontal="left" vertical="center"/>
      <protection hidden="1"/>
    </xf>
    <xf numFmtId="0" fontId="8" fillId="2" borderId="1" xfId="3" applyFont="1" applyFill="1" applyBorder="1" applyAlignment="1" applyProtection="1">
      <alignment horizontal="left" vertical="center"/>
      <protection hidden="1"/>
    </xf>
    <xf numFmtId="0" fontId="8" fillId="2" borderId="3" xfId="3" applyFont="1" applyFill="1" applyBorder="1" applyAlignment="1" applyProtection="1">
      <alignment horizontal="left" vertical="center"/>
      <protection hidden="1"/>
    </xf>
    <xf numFmtId="0" fontId="11" fillId="5" borderId="11" xfId="3" applyFont="1" applyFill="1" applyBorder="1" applyAlignment="1" applyProtection="1">
      <alignment horizontal="center" vertical="center"/>
      <protection hidden="1"/>
    </xf>
    <xf numFmtId="0" fontId="18" fillId="2" borderId="11" xfId="0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center" vertical="center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oo.gl/maps/ybTeKvLSwqdR4bsJ9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topLeftCell="A13" zoomScaleNormal="100" workbookViewId="0">
      <selection activeCell="D20" sqref="D20"/>
    </sheetView>
  </sheetViews>
  <sheetFormatPr defaultColWidth="0" defaultRowHeight="15" zeroHeight="1"/>
  <cols>
    <col min="1" max="1" width="1.7109375" style="1" customWidth="1"/>
    <col min="2" max="2" width="31.28515625" style="2" bestFit="1" customWidth="1"/>
    <col min="3" max="3" width="7.140625" style="4" customWidth="1"/>
    <col min="4" max="4" width="50.7109375" style="3" customWidth="1"/>
    <col min="5" max="5" width="1.7109375" style="1" customWidth="1"/>
    <col min="6" max="6" width="33.42578125" hidden="1" customWidth="1"/>
    <col min="7" max="10" width="9.140625" hidden="1" customWidth="1"/>
    <col min="11" max="16384" width="9.140625" hidden="1"/>
  </cols>
  <sheetData>
    <row r="1" spans="1:6" ht="26.25">
      <c r="A1" s="92" t="s">
        <v>54</v>
      </c>
      <c r="B1" s="93"/>
      <c r="C1" s="93"/>
      <c r="D1" s="93"/>
      <c r="E1" s="93"/>
    </row>
    <row r="2" spans="1:6" ht="10.5" customHeight="1">
      <c r="A2" s="9"/>
      <c r="B2" s="8"/>
      <c r="C2" s="8"/>
      <c r="D2" s="8"/>
      <c r="E2" s="8"/>
    </row>
    <row r="3" spans="1:6" ht="18" customHeight="1">
      <c r="A3" s="10"/>
      <c r="B3" s="83" t="s">
        <v>0</v>
      </c>
      <c r="C3" s="84"/>
      <c r="D3" s="85"/>
      <c r="E3" s="15"/>
      <c r="F3" s="70" t="s">
        <v>16</v>
      </c>
    </row>
    <row r="4" spans="1:6" ht="18" customHeight="1">
      <c r="A4" s="10"/>
      <c r="B4" s="18" t="s">
        <v>53</v>
      </c>
      <c r="C4" s="19"/>
      <c r="D4" s="79" t="s">
        <v>55</v>
      </c>
      <c r="E4" s="15"/>
      <c r="F4" s="70" t="s">
        <v>15</v>
      </c>
    </row>
    <row r="5" spans="1:6" ht="18" customHeight="1">
      <c r="A5" s="10"/>
      <c r="B5" s="18" t="s">
        <v>8</v>
      </c>
      <c r="C5" s="19"/>
      <c r="D5" s="20" t="s">
        <v>31</v>
      </c>
      <c r="E5" s="15"/>
      <c r="F5" s="70" t="s">
        <v>14</v>
      </c>
    </row>
    <row r="6" spans="1:6" ht="18" customHeight="1">
      <c r="A6" s="10"/>
      <c r="B6" s="21" t="s">
        <v>2</v>
      </c>
      <c r="C6" s="22"/>
      <c r="D6" s="80" t="s">
        <v>56</v>
      </c>
      <c r="E6" s="15"/>
      <c r="F6" s="71" t="s">
        <v>31</v>
      </c>
    </row>
    <row r="7" spans="1:6" ht="18" customHeight="1">
      <c r="A7" s="10"/>
      <c r="B7" s="21" t="s">
        <v>5</v>
      </c>
      <c r="C7" s="22"/>
      <c r="D7" s="20" t="s">
        <v>41</v>
      </c>
      <c r="E7" s="15"/>
      <c r="F7" s="71">
        <v>1</v>
      </c>
    </row>
    <row r="8" spans="1:6" ht="18" customHeight="1">
      <c r="A8" s="10"/>
      <c r="B8" s="21" t="s">
        <v>1</v>
      </c>
      <c r="C8" s="22"/>
      <c r="D8" s="20">
        <v>82.67</v>
      </c>
      <c r="E8" s="15"/>
      <c r="F8" s="72" t="s">
        <v>12</v>
      </c>
    </row>
    <row r="9" spans="1:6" ht="18" customHeight="1">
      <c r="A9" s="10"/>
      <c r="B9" s="21" t="s">
        <v>9</v>
      </c>
      <c r="C9" s="22"/>
      <c r="D9" s="23">
        <v>3</v>
      </c>
      <c r="E9" s="15"/>
      <c r="F9" s="72" t="s">
        <v>13</v>
      </c>
    </row>
    <row r="10" spans="1:6" ht="18" customHeight="1">
      <c r="A10" s="10"/>
      <c r="B10" s="86" t="s">
        <v>36</v>
      </c>
      <c r="C10" s="89"/>
      <c r="D10" s="94" t="s">
        <v>59</v>
      </c>
      <c r="E10" s="15"/>
      <c r="F10" s="72" t="s">
        <v>41</v>
      </c>
    </row>
    <row r="11" spans="1:6" ht="18" customHeight="1">
      <c r="A11" s="15"/>
      <c r="B11" s="87"/>
      <c r="C11" s="90"/>
      <c r="D11" s="95"/>
      <c r="E11" s="15"/>
      <c r="F11" s="72">
        <f>IF(D7=F10,3,1)</f>
        <v>3</v>
      </c>
    </row>
    <row r="12" spans="1:6" ht="18" customHeight="1">
      <c r="A12" s="10"/>
      <c r="B12" s="87"/>
      <c r="C12" s="90"/>
      <c r="D12" s="95"/>
      <c r="E12" s="15"/>
      <c r="F12" s="73" t="s">
        <v>17</v>
      </c>
    </row>
    <row r="13" spans="1:6" ht="18" customHeight="1">
      <c r="A13" s="10"/>
      <c r="B13" s="87"/>
      <c r="C13" s="90"/>
      <c r="D13" s="95"/>
      <c r="E13" s="15"/>
      <c r="F13" s="74">
        <f>ABS(IPMT(D42/12,1,D39*12,D44)+IPMT(D42/12,12,D39*12,D44))/2</f>
        <v>1588.8366738287605</v>
      </c>
    </row>
    <row r="14" spans="1:6" ht="18" customHeight="1">
      <c r="A14" s="10"/>
      <c r="B14" s="88"/>
      <c r="C14" s="91"/>
      <c r="D14" s="96"/>
      <c r="E14" s="15"/>
    </row>
    <row r="15" spans="1:6" ht="18" customHeight="1">
      <c r="A15" s="10"/>
      <c r="B15" s="18" t="s">
        <v>35</v>
      </c>
      <c r="C15" s="5"/>
      <c r="D15" s="17">
        <f>D18/D8</f>
        <v>7197.2904318374258</v>
      </c>
      <c r="E15" s="15"/>
    </row>
    <row r="16" spans="1:6" ht="10.5" customHeight="1">
      <c r="A16" s="76"/>
      <c r="B16" s="8"/>
      <c r="C16" s="8"/>
      <c r="D16" s="8"/>
      <c r="E16" s="68"/>
    </row>
    <row r="17" spans="1:5" ht="18" customHeight="1">
      <c r="A17" s="15"/>
      <c r="B17" s="83" t="s">
        <v>18</v>
      </c>
      <c r="C17" s="84"/>
      <c r="D17" s="85"/>
      <c r="E17" s="68"/>
    </row>
    <row r="18" spans="1:5" ht="18" customHeight="1">
      <c r="A18" s="15"/>
      <c r="B18" s="24" t="s">
        <v>3</v>
      </c>
      <c r="C18" s="25"/>
      <c r="D18" s="26">
        <v>595000</v>
      </c>
      <c r="E18" s="68"/>
    </row>
    <row r="19" spans="1:5" ht="18" customHeight="1">
      <c r="A19" s="10"/>
      <c r="B19" s="21" t="s">
        <v>34</v>
      </c>
      <c r="C19" s="22"/>
      <c r="D19" s="17">
        <f>D18*2%</f>
        <v>11900</v>
      </c>
      <c r="E19" s="15"/>
    </row>
    <row r="20" spans="1:5" ht="18" customHeight="1">
      <c r="A20" s="10"/>
      <c r="B20" s="21" t="s">
        <v>10</v>
      </c>
      <c r="C20" s="22"/>
      <c r="D20" s="7">
        <f>(1010+((D18-60000)*0.004))/2*1.23+IF(F11=2, 200+246+60, 200+246)+300+800</f>
        <v>3483.25</v>
      </c>
      <c r="E20" s="15"/>
    </row>
    <row r="21" spans="1:5" ht="18" customHeight="1">
      <c r="A21" s="10"/>
      <c r="B21" s="48" t="s">
        <v>11</v>
      </c>
      <c r="C21" s="16"/>
      <c r="D21" s="7">
        <v>0</v>
      </c>
      <c r="E21" s="15"/>
    </row>
    <row r="22" spans="1:5" ht="18" customHeight="1">
      <c r="A22" s="10"/>
      <c r="B22" s="21" t="s">
        <v>6</v>
      </c>
      <c r="C22" s="22"/>
      <c r="D22" s="7">
        <v>0</v>
      </c>
      <c r="E22" s="15"/>
    </row>
    <row r="23" spans="1:5" ht="18" customHeight="1">
      <c r="A23" s="15"/>
      <c r="B23" s="21" t="s">
        <v>44</v>
      </c>
      <c r="C23" s="22"/>
      <c r="D23" s="7">
        <v>34000</v>
      </c>
      <c r="E23" s="15"/>
    </row>
    <row r="24" spans="1:5" ht="18" customHeight="1">
      <c r="A24" s="10"/>
      <c r="B24" s="21" t="s">
        <v>20</v>
      </c>
      <c r="C24" s="22"/>
      <c r="D24" s="7">
        <v>0</v>
      </c>
      <c r="E24" s="15"/>
    </row>
    <row r="25" spans="1:5" ht="18" customHeight="1">
      <c r="A25" s="10"/>
      <c r="B25" s="24" t="s">
        <v>4</v>
      </c>
      <c r="C25" s="25"/>
      <c r="D25" s="27">
        <f>SUM(D18:D24)</f>
        <v>644383.25</v>
      </c>
      <c r="E25" s="15"/>
    </row>
    <row r="26" spans="1:5" ht="10.5" customHeight="1">
      <c r="A26" s="76"/>
      <c r="B26" s="8"/>
      <c r="C26" s="8"/>
      <c r="D26" s="8"/>
      <c r="E26" s="68"/>
    </row>
    <row r="27" spans="1:5" ht="18" customHeight="1">
      <c r="A27" s="15"/>
      <c r="B27" s="83" t="s">
        <v>28</v>
      </c>
      <c r="C27" s="84"/>
      <c r="D27" s="85"/>
      <c r="E27" s="68"/>
    </row>
    <row r="28" spans="1:5" ht="18" customHeight="1">
      <c r="A28" s="15"/>
      <c r="B28" s="48" t="s">
        <v>45</v>
      </c>
      <c r="C28" s="16"/>
      <c r="D28" s="7">
        <f>1400+1450+1500</f>
        <v>4350</v>
      </c>
      <c r="E28" s="68"/>
    </row>
    <row r="29" spans="1:5" ht="18" customHeight="1">
      <c r="A29" s="10"/>
      <c r="B29" s="48" t="s">
        <v>50</v>
      </c>
      <c r="C29" s="16"/>
      <c r="D29" s="7" t="s">
        <v>57</v>
      </c>
      <c r="E29" s="15"/>
    </row>
    <row r="30" spans="1:5" ht="18" customHeight="1">
      <c r="A30" s="10"/>
      <c r="B30" s="48" t="s">
        <v>51</v>
      </c>
      <c r="C30" s="16"/>
      <c r="D30" s="7" t="s">
        <v>58</v>
      </c>
      <c r="E30" s="15"/>
    </row>
    <row r="31" spans="1:5" ht="18" hidden="1" customHeight="1">
      <c r="A31" s="13"/>
      <c r="B31" s="48" t="s">
        <v>40</v>
      </c>
      <c r="C31" s="50">
        <v>0.2</v>
      </c>
      <c r="D31" s="17">
        <f>D28*C31</f>
        <v>870</v>
      </c>
      <c r="E31" s="69"/>
    </row>
    <row r="32" spans="1:5" ht="18" hidden="1" customHeight="1">
      <c r="A32" s="10"/>
      <c r="B32" s="48" t="s">
        <v>48</v>
      </c>
      <c r="C32" s="50">
        <v>0</v>
      </c>
      <c r="D32" s="17">
        <f>D28*C32</f>
        <v>0</v>
      </c>
      <c r="E32" s="69"/>
    </row>
    <row r="33" spans="1:6" ht="18" hidden="1" customHeight="1">
      <c r="A33" s="15"/>
      <c r="B33" s="48" t="s">
        <v>26</v>
      </c>
      <c r="C33" s="16"/>
      <c r="D33" s="7">
        <v>0</v>
      </c>
      <c r="E33" s="77"/>
    </row>
    <row r="34" spans="1:6" ht="10.5" customHeight="1">
      <c r="A34" s="76"/>
      <c r="B34" s="8"/>
      <c r="C34" s="8"/>
      <c r="D34" s="8"/>
      <c r="E34" s="68"/>
    </row>
    <row r="35" spans="1:6" ht="18" customHeight="1">
      <c r="A35" s="76"/>
      <c r="B35" s="101" t="s">
        <v>43</v>
      </c>
      <c r="C35" s="83"/>
      <c r="D35" s="14">
        <f>(D28-D33)*12/D25*100</f>
        <v>8.1007692239051838</v>
      </c>
      <c r="E35" s="68"/>
    </row>
    <row r="36" spans="1:6" ht="18" hidden="1" customHeight="1">
      <c r="A36" s="76"/>
      <c r="B36" s="102" t="s">
        <v>49</v>
      </c>
      <c r="C36" s="103"/>
      <c r="D36" s="78">
        <f>(D28-D31-D32/12-D33)*12/D25*100</f>
        <v>6.4806153791241465</v>
      </c>
      <c r="E36" s="68"/>
    </row>
    <row r="37" spans="1:6" ht="10.5" customHeight="1">
      <c r="A37" s="76"/>
      <c r="B37" s="8"/>
      <c r="C37" s="8"/>
      <c r="D37" s="8"/>
      <c r="E37" s="68"/>
    </row>
    <row r="38" spans="1:6" ht="18" customHeight="1">
      <c r="A38" s="76"/>
      <c r="B38" s="83" t="s">
        <v>19</v>
      </c>
      <c r="C38" s="84"/>
      <c r="D38" s="85"/>
      <c r="E38" s="68"/>
      <c r="F38" s="75"/>
    </row>
    <row r="39" spans="1:6" ht="18" customHeight="1">
      <c r="A39" s="76"/>
      <c r="B39" s="28" t="s">
        <v>21</v>
      </c>
      <c r="C39" s="29"/>
      <c r="D39" s="30">
        <v>30</v>
      </c>
      <c r="E39" s="68"/>
    </row>
    <row r="40" spans="1:6" ht="18" customHeight="1">
      <c r="A40" s="76"/>
      <c r="B40" s="31" t="s">
        <v>22</v>
      </c>
      <c r="C40" s="32"/>
      <c r="D40" s="33">
        <v>0.02</v>
      </c>
      <c r="E40" s="68"/>
    </row>
    <row r="41" spans="1:6" ht="18" customHeight="1">
      <c r="A41" s="76"/>
      <c r="B41" s="31" t="s">
        <v>39</v>
      </c>
      <c r="C41" s="32"/>
      <c r="D41" s="33">
        <v>1.7299999999999999E-2</v>
      </c>
      <c r="E41" s="68"/>
    </row>
    <row r="42" spans="1:6" ht="18" customHeight="1">
      <c r="A42" s="76"/>
      <c r="B42" s="31" t="s">
        <v>23</v>
      </c>
      <c r="C42" s="32"/>
      <c r="D42" s="34">
        <f>D40+D41</f>
        <v>3.73E-2</v>
      </c>
      <c r="E42" s="68"/>
    </row>
    <row r="43" spans="1:6" ht="18" customHeight="1">
      <c r="A43" s="76"/>
      <c r="B43" s="35" t="s">
        <v>42</v>
      </c>
      <c r="C43" s="36"/>
      <c r="D43" s="37">
        <f>D25*80%*2%</f>
        <v>10310.132000000001</v>
      </c>
      <c r="E43" s="68"/>
    </row>
    <row r="44" spans="1:6" ht="18" customHeight="1">
      <c r="A44" s="76"/>
      <c r="B44" s="38" t="s">
        <v>25</v>
      </c>
      <c r="C44" s="39"/>
      <c r="D44" s="40">
        <f>D25*80%</f>
        <v>515506.60000000003</v>
      </c>
      <c r="E44" s="68"/>
    </row>
    <row r="45" spans="1:6" ht="18" customHeight="1">
      <c r="A45" s="76"/>
      <c r="B45" s="41" t="s">
        <v>7</v>
      </c>
      <c r="C45" s="42"/>
      <c r="D45" s="43">
        <f>ABS(PMT(D42/12,D39*12,D44))</f>
        <v>2381.5448593813853</v>
      </c>
      <c r="E45" s="68"/>
    </row>
    <row r="46" spans="1:6" ht="18" customHeight="1">
      <c r="A46" s="76"/>
      <c r="B46" s="44" t="s">
        <v>24</v>
      </c>
      <c r="C46" s="45"/>
      <c r="D46" s="46">
        <f>D25+D43</f>
        <v>654693.38199999998</v>
      </c>
      <c r="E46" s="68"/>
    </row>
    <row r="47" spans="1:6" ht="18" customHeight="1">
      <c r="A47" s="76"/>
      <c r="B47" s="44" t="s">
        <v>38</v>
      </c>
      <c r="C47" s="45"/>
      <c r="D47" s="47">
        <f>D46-D44</f>
        <v>139186.78199999995</v>
      </c>
      <c r="E47" s="68"/>
    </row>
    <row r="48" spans="1:6" ht="10.5" customHeight="1">
      <c r="A48" s="76"/>
      <c r="B48" s="8"/>
      <c r="C48" s="8"/>
      <c r="D48" s="8"/>
      <c r="E48" s="68"/>
    </row>
    <row r="49" spans="1:5" ht="18" customHeight="1">
      <c r="A49" s="76"/>
      <c r="B49" s="83" t="s">
        <v>37</v>
      </c>
      <c r="C49" s="84"/>
      <c r="D49" s="85"/>
      <c r="E49" s="68"/>
    </row>
    <row r="50" spans="1:5" ht="18" customHeight="1">
      <c r="A50" s="76"/>
      <c r="B50" s="11"/>
      <c r="C50" s="97" t="s">
        <v>32</v>
      </c>
      <c r="D50" s="98"/>
      <c r="E50" s="68"/>
    </row>
    <row r="51" spans="1:5" ht="18" customHeight="1">
      <c r="A51" s="76"/>
      <c r="B51" s="51" t="s">
        <v>29</v>
      </c>
      <c r="C51" s="52"/>
      <c r="D51" s="53">
        <f>D28*0.085</f>
        <v>369.75</v>
      </c>
      <c r="E51" s="68"/>
    </row>
    <row r="52" spans="1:5" ht="18" customHeight="1">
      <c r="A52" s="76"/>
      <c r="B52" s="54" t="s">
        <v>30</v>
      </c>
      <c r="C52" s="55"/>
      <c r="D52" s="56" t="e">
        <f>D28-D29-D30-D31-D32/12-D33-D45-D51</f>
        <v>#VALUE!</v>
      </c>
      <c r="E52" s="68"/>
    </row>
    <row r="53" spans="1:5" ht="18" customHeight="1">
      <c r="A53" s="76"/>
      <c r="B53" s="62" t="s">
        <v>27</v>
      </c>
      <c r="C53" s="63"/>
      <c r="D53" s="64" t="e">
        <f>D52*12/D47</f>
        <v>#VALUE!</v>
      </c>
      <c r="E53" s="68"/>
    </row>
    <row r="54" spans="1:5" ht="18" customHeight="1">
      <c r="A54" s="76"/>
      <c r="B54" s="6"/>
      <c r="C54" s="99" t="s">
        <v>33</v>
      </c>
      <c r="D54" s="100"/>
      <c r="E54" s="68"/>
    </row>
    <row r="55" spans="1:5" ht="18" customHeight="1">
      <c r="A55" s="76"/>
      <c r="B55" s="49" t="s">
        <v>47</v>
      </c>
      <c r="C55" s="61">
        <f>IF(F11=3,10%,2.5%)</f>
        <v>0.1</v>
      </c>
      <c r="D55" s="57">
        <f>D46*C55/12</f>
        <v>5455.7781833333329</v>
      </c>
      <c r="E55" s="68"/>
    </row>
    <row r="56" spans="1:5" ht="18" customHeight="1">
      <c r="A56" s="76"/>
      <c r="B56" s="49" t="s">
        <v>46</v>
      </c>
      <c r="C56" s="59">
        <f>IF(C55=10%,19%,18%)</f>
        <v>0.19</v>
      </c>
      <c r="D56" s="57" t="e">
        <f>(D28-D29-D30-D31-D32/12-D33-F13-D55)*C56</f>
        <v>#VALUE!</v>
      </c>
      <c r="E56" s="68"/>
    </row>
    <row r="57" spans="1:5" ht="18" customHeight="1">
      <c r="A57" s="76"/>
      <c r="B57" s="60" t="s">
        <v>30</v>
      </c>
      <c r="C57" s="58"/>
      <c r="D57" s="12" t="e">
        <f>D28-D29-D31-D32/12-D33-D45-D56</f>
        <v>#VALUE!</v>
      </c>
      <c r="E57" s="68"/>
    </row>
    <row r="58" spans="1:5" ht="18" customHeight="1">
      <c r="A58" s="76"/>
      <c r="B58" s="65" t="s">
        <v>27</v>
      </c>
      <c r="C58" s="66"/>
      <c r="D58" s="67" t="e">
        <f>D57*12/D47</f>
        <v>#VALUE!</v>
      </c>
      <c r="E58" s="68"/>
    </row>
    <row r="59" spans="1:5" ht="10.5" customHeight="1">
      <c r="A59" s="76"/>
      <c r="B59" s="8"/>
      <c r="C59" s="8"/>
      <c r="D59" s="8"/>
      <c r="E59" s="68"/>
    </row>
    <row r="60" spans="1:5" ht="18" customHeight="1">
      <c r="A60" s="68"/>
      <c r="B60" s="81" t="s">
        <v>52</v>
      </c>
      <c r="C60" s="82"/>
      <c r="D60" s="82"/>
      <c r="E60" s="68"/>
    </row>
    <row r="61" spans="1:5" hidden="1">
      <c r="B61" s="1"/>
      <c r="C61" s="1"/>
      <c r="D61" s="1"/>
    </row>
    <row r="62" spans="1:5" hidden="1">
      <c r="B62" s="1"/>
      <c r="C62" s="1"/>
      <c r="D62" s="1"/>
    </row>
    <row r="63" spans="1:5" hidden="1">
      <c r="B63" s="1"/>
      <c r="C63" s="1"/>
      <c r="D63" s="1"/>
    </row>
    <row r="64" spans="1:5" hidden="1">
      <c r="B64" s="1"/>
      <c r="C64" s="1"/>
      <c r="D64" s="1"/>
    </row>
    <row r="65" spans="2:4" hidden="1">
      <c r="B65" s="1"/>
      <c r="C65" s="1"/>
      <c r="D65" s="1"/>
    </row>
    <row r="66" spans="2:4" hidden="1">
      <c r="B66" s="1"/>
      <c r="C66" s="1"/>
      <c r="D66" s="1"/>
    </row>
    <row r="67" spans="2:4" hidden="1">
      <c r="B67" s="1"/>
      <c r="C67" s="1"/>
      <c r="D67" s="1"/>
    </row>
    <row r="68" spans="2:4" hidden="1">
      <c r="B68" s="1"/>
      <c r="C68" s="1"/>
      <c r="D68" s="1"/>
    </row>
    <row r="69" spans="2:4" hidden="1">
      <c r="B69" s="1"/>
      <c r="C69" s="1"/>
      <c r="D69" s="1"/>
    </row>
    <row r="70" spans="2:4" hidden="1">
      <c r="B70" s="1"/>
      <c r="C70" s="1"/>
      <c r="D70" s="1"/>
    </row>
    <row r="71" spans="2:4" hidden="1">
      <c r="B71" s="1"/>
      <c r="C71" s="1"/>
      <c r="D71" s="1"/>
    </row>
    <row r="72" spans="2:4" hidden="1">
      <c r="B72" s="1"/>
      <c r="C72" s="1"/>
      <c r="D72" s="1"/>
    </row>
    <row r="73" spans="2:4" hidden="1">
      <c r="B73" s="1"/>
      <c r="C73" s="1"/>
      <c r="D73" s="1"/>
    </row>
  </sheetData>
  <sheetProtection selectLockedCell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14">
    <mergeCell ref="A1:E1"/>
    <mergeCell ref="D10:D14"/>
    <mergeCell ref="C50:D50"/>
    <mergeCell ref="C54:D54"/>
    <mergeCell ref="B35:C35"/>
    <mergeCell ref="B36:C36"/>
    <mergeCell ref="B60:D60"/>
    <mergeCell ref="B38:D38"/>
    <mergeCell ref="B27:D27"/>
    <mergeCell ref="B49:D49"/>
    <mergeCell ref="B3:D3"/>
    <mergeCell ref="B17:D17"/>
    <mergeCell ref="B10:B14"/>
    <mergeCell ref="C10:C14"/>
  </mergeCells>
  <dataValidations disablePrompts="1" count="2">
    <dataValidation type="list" allowBlank="1" showInputMessage="1" showErrorMessage="1" sqref="D5" xr:uid="{00000000-0002-0000-0000-000000000000}">
      <formula1>$F$3:$F$6</formula1>
    </dataValidation>
    <dataValidation type="list" allowBlank="1" showInputMessage="1" showErrorMessage="1" sqref="D7" xr:uid="{00000000-0002-0000-0000-000001000000}">
      <formula1>$F$8:$F$10</formula1>
    </dataValidation>
  </dataValidations>
  <hyperlinks>
    <hyperlink ref="D4" r:id="rId2" xr:uid="{D92489C2-2F02-4B4E-AD0A-3ACA5AFFBEB8}"/>
  </hyperlinks>
  <pageMargins left="0.39370078740157483" right="0.39370078740157483" top="0.39370078740157483" bottom="0.39370078740157483" header="0" footer="0"/>
  <pageSetup paperSize="9" orientation="portrait" horizontalDpi="300" r:id="rId3"/>
  <ignoredErrors>
    <ignoredError sqref="D43 C55:C56 F11:F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podstawowa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piotr@hryniewicz.pl</dc:creator>
  <cp:lastModifiedBy>Jeremiasz Gorzedowski</cp:lastModifiedBy>
  <cp:lastPrinted>2019-01-08T21:59:05Z</cp:lastPrinted>
  <dcterms:created xsi:type="dcterms:W3CDTF">2012-03-06T10:48:18Z</dcterms:created>
  <dcterms:modified xsi:type="dcterms:W3CDTF">2021-10-25T11:34:06Z</dcterms:modified>
</cp:coreProperties>
</file>