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27EEB9D0-73B8-4219-912E-A4F695947AA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Analiza inwestycyjna" sheetId="1" r:id="rId1"/>
  </sheets>
  <definedNames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inwestycyjna'!$42:$51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</workbook>
</file>

<file path=xl/calcChain.xml><?xml version="1.0" encoding="utf-8"?>
<calcChain xmlns="http://schemas.openxmlformats.org/spreadsheetml/2006/main">
  <c r="J18" i="1" l="1"/>
  <c r="H18" i="1"/>
  <c r="H5" i="1"/>
  <c r="D46" i="1" l="1"/>
  <c r="D45" i="1" s="1"/>
  <c r="J7" i="1" l="1"/>
  <c r="H10" i="1" l="1"/>
  <c r="K10" i="1" s="1"/>
  <c r="J9" i="1"/>
  <c r="K9" i="1" s="1"/>
  <c r="J22" i="1"/>
  <c r="K13" i="1"/>
  <c r="K6" i="1"/>
  <c r="I30" i="1"/>
  <c r="J11" i="1"/>
  <c r="K11" i="1" s="1"/>
  <c r="K30" i="1"/>
  <c r="M11" i="1"/>
  <c r="D9" i="1" s="1"/>
  <c r="K7" i="1"/>
  <c r="J8" i="1"/>
  <c r="K8" i="1" s="1"/>
  <c r="J12" i="1"/>
  <c r="K12" i="1" s="1"/>
  <c r="G23" i="1"/>
  <c r="H23" i="1" s="1"/>
  <c r="M28" i="1"/>
  <c r="H20" i="1" s="1"/>
  <c r="D37" i="1"/>
  <c r="D25" i="1"/>
  <c r="M7" i="1"/>
  <c r="M34" i="1" s="1"/>
  <c r="M21" i="1"/>
  <c r="D30" i="1" s="1"/>
  <c r="D44" i="1"/>
  <c r="H22" i="1"/>
  <c r="H21" i="1"/>
  <c r="J23" i="1" l="1"/>
  <c r="D10" i="1"/>
  <c r="M33" i="1"/>
  <c r="M32" i="1"/>
  <c r="D47" i="1"/>
  <c r="D31" i="1"/>
  <c r="D36" i="1" s="1"/>
  <c r="J21" i="1"/>
  <c r="D29" i="1"/>
  <c r="G44" i="1"/>
  <c r="G45" i="1" s="1"/>
  <c r="M18" i="1"/>
  <c r="H14" i="1"/>
  <c r="H39" i="1"/>
  <c r="J19" i="1"/>
  <c r="J20" i="1" s="1"/>
  <c r="D48" i="1" l="1"/>
  <c r="H44" i="1" s="1"/>
  <c r="H42" i="1"/>
  <c r="M35" i="1"/>
  <c r="H40" i="1"/>
  <c r="H35" i="1"/>
  <c r="J39" i="1"/>
  <c r="J42" i="1" s="1"/>
  <c r="J32" i="1"/>
  <c r="J33" i="1"/>
  <c r="J35" i="1"/>
  <c r="J34" i="1"/>
  <c r="H32" i="1"/>
  <c r="H33" i="1"/>
  <c r="H34" i="1"/>
  <c r="H45" i="1" l="1"/>
  <c r="H46" i="1" s="1"/>
  <c r="J40" i="1"/>
  <c r="J45" i="1"/>
  <c r="J49" i="1" s="1"/>
  <c r="D49" i="1"/>
  <c r="H48" i="1" l="1"/>
  <c r="H49" i="1"/>
  <c r="J41" i="1"/>
  <c r="K41" i="1" s="1"/>
  <c r="J46" i="1"/>
  <c r="J47" i="1" s="1"/>
  <c r="K47" i="1" s="1"/>
  <c r="H47" i="1"/>
  <c r="I47" i="1" s="1"/>
  <c r="H41" i="1"/>
  <c r="I41" i="1" s="1"/>
  <c r="J4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 na pokoje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H1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szacowanie na wartości obecnej można potraktować również jako wersję pesymistyczną najmu i sprawdzić, jaki uzyskamy współczynnik rentowności i jakie przepływy pieniężne przy różnych formach rozliczania
</t>
        </r>
      </text>
    </comment>
    <comment ref="F18" authorId="1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>ubezpieczenie, inne koszty roczne</t>
        </r>
      </text>
    </comment>
    <comment ref="B29" authorId="1" shapeId="0" xr:uid="{00000000-0006-0000-0000-00000C000000}">
      <text>
        <r>
          <rPr>
            <b/>
            <sz val="10"/>
            <color indexed="81"/>
            <rFont val="Tahoma"/>
            <family val="2"/>
            <charset val="238"/>
          </rPr>
          <t>wartość gruntu nie podlega amortyzacji, można wyszczególnić tę kwotę w akcie notarialnym lub później wystąpić o sprostowanie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szacowany pustostan całego mieszkania w ciągu roku wyrażony w tygodniach, bez możliwości odzyskania czynszu od najemców</t>
        </r>
      </text>
    </comment>
    <comment ref="B31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3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kuchenne
przy kapitalnym remoncie przyjmujemy 1000-1500 zł/m2 w zależności od zakresu prac</t>
        </r>
      </text>
    </comment>
    <comment ref="B34" authorId="2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>umeblowanie mieszkania, sprzęt AGD, wyposażenie pod najem
przyjmujemy 2500-3500 zł na osobę</t>
        </r>
      </text>
    </comment>
    <comment ref="B35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7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5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aby skorzystać z ujemnego podatku dochodowego generowanego przez amortyzację i odsetki od kredytu (tarcza podatkowa), trzeba posiadać inny dochód do opodatkowania z tego samego źródła (najem) lub w tej samej działalności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46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wielu bankach nadal można uzyskać kredyt hipoteczny na 90% LTV wykupując ubezpieczenie niskiego wkładu własnego.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6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7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8" authorId="0" shapeId="0" xr:uid="{00000000-0006-0000-0000-00001A000000}">
      <text>
        <r>
          <rPr>
            <b/>
            <sz val="10"/>
            <color indexed="81"/>
            <rFont val="Tahoma"/>
            <family val="2"/>
            <charset val="238"/>
          </rPr>
          <t>zysk nieuwzględniający ujemnego podatku dochodowego, jeśli nie mamy innych dochodów z tego samego źródła lub w działalności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9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</commentList>
</comments>
</file>

<file path=xl/sharedStrings.xml><?xml version="1.0" encoding="utf-8"?>
<sst xmlns="http://schemas.openxmlformats.org/spreadsheetml/2006/main" count="124" uniqueCount="113">
  <si>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</si>
  <si>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</si>
  <si>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</si>
  <si>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</si>
  <si>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</si>
  <si>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</si>
  <si>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</si>
  <si>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</si>
  <si>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</si>
  <si>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</si>
  <si>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</si>
  <si>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</si>
  <si>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</si>
  <si>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</si>
  <si>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</si>
  <si>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</si>
  <si>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</si>
  <si>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</si>
  <si>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</si>
  <si>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</si>
  <si>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</si>
  <si>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</si>
  <si>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</si>
  <si>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</si>
  <si>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</si>
  <si>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</si>
  <si>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</si>
  <si>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</si>
  <si>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</si>
  <si>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</si>
  <si>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</si>
  <si>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</si>
  <si>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</si>
  <si>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</si>
  <si>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 xml:space="preserve">            Amortyzacja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</si>
  <si>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</si>
  <si>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</si>
  <si>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</si>
  <si>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</si>
  <si>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</si>
  <si>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</si>
  <si>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</si>
  <si>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</si>
  <si>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</si>
  <si>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</si>
  <si>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</si>
  <si>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Wartość nieruchomości z remontem</t>
  </si>
  <si>
    <t>7. Analiza finansowa - cashflow</t>
  </si>
  <si>
    <t>Dodatkowe koszty roczne</t>
  </si>
  <si>
    <t>w sezonie</t>
  </si>
  <si>
    <t>3. Dane kredytowe</t>
  </si>
  <si>
    <t>obecnie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</si>
  <si>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</si>
  <si>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</si>
  <si>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</si>
  <si>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</si>
  <si>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</si>
  <si>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</si>
  <si>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</si>
  <si>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</si>
  <si>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</si>
  <si>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</si>
  <si>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</si>
  <si>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</si>
  <si>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</si>
  <si>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w tym wartość gruntu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</si>
  <si>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</si>
  <si>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</si>
  <si>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</si>
  <si>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</si>
  <si>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</si>
  <si>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</si>
  <si>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</si>
  <si>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</si>
  <si>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</si>
  <si>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</si>
  <si>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</si>
  <si>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</si>
  <si>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</si>
  <si>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</si>
  <si>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</si>
  <si>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Ryczałt (8,5%)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</si>
  <si>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</si>
  <si>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</si>
  <si>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</si>
  <si>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</si>
  <si>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</si>
  <si>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</si>
  <si>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</si>
  <si>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Zysk bez tarczy podatkowej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</si>
  <si>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</si>
  <si>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</si>
  <si>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</si>
  <si>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</si>
  <si>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</si>
  <si>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</si>
  <si>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</si>
  <si>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</si>
  <si>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</si>
  <si>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</si>
  <si>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</si>
  <si>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</si>
  <si>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</si>
  <si>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</si>
  <si>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kontakt@edukacjainwestowania.pl</t>
  </si>
  <si>
    <t>Analiza inwestycyjna mieszkania (6.17)</t>
  </si>
  <si>
    <t>Szablon Analiza inwestycyjna mieszkania (v.6.17) - Copyright © Piotr Hryniewicz</t>
  </si>
  <si>
    <t>Poznań, ul. Zeylanda 8/19</t>
  </si>
  <si>
    <t>5 z 5</t>
  </si>
  <si>
    <t>6.7; 6.7; 6.7; 6.3</t>
  </si>
  <si>
    <t>generalny remont wykonany przez Inwestycje Hryniewicz.pl sp. z o. o. w 2015 r.</t>
  </si>
  <si>
    <t>szacujemy wynajem w sezonie w cenie 710 zł, 730 zł, 740 zł i 770 zł + opłaty za media</t>
  </si>
  <si>
    <t>aktualnie pokoje wynajęte w cenie 710 zł, 730 zł, 740 zł i 770 zł + opłaty za media, umowy podpisane do 25.08.2022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</si>
</sst>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locked="0" hidden="1"/>
    </xf>
    <xf numFmtId="0" fontId="8" fillId="3" borderId="0" xfId="0" applyFont="1" applyFill="1" applyProtection="1">
      <protection locked="0" hidden="1"/>
    </xf>
    <xf numFmtId="0" fontId="0" fillId="5" borderId="0" xfId="0" applyFont="1" applyFill="1" applyProtection="1">
      <protection locked="0" hidden="1"/>
    </xf>
    <xf numFmtId="0" fontId="0" fillId="6" borderId="0" xfId="0" applyFont="1" applyFill="1" applyProtection="1">
      <protection locked="0" hidden="1"/>
    </xf>
    <xf numFmtId="8" fontId="0" fillId="6" borderId="0" xfId="0" applyNumberFormat="1" applyFont="1" applyFill="1" applyProtection="1">
      <protection locked="0" hidden="1"/>
    </xf>
    <xf numFmtId="0" fontId="0" fillId="3" borderId="0" xfId="0" applyFont="1" applyFill="1" applyProtection="1">
      <protection locked="0" hidden="1"/>
    </xf>
    <xf numFmtId="0" fontId="0" fillId="7" borderId="3" xfId="0" applyFont="1" applyFill="1" applyBorder="1" applyAlignment="1" applyProtection="1">
      <protection hidden="1"/>
    </xf>
    <xf numFmtId="0" fontId="8" fillId="7" borderId="4" xfId="0" applyFont="1" applyFill="1" applyBorder="1" applyProtection="1">
      <protection hidden="1"/>
    </xf>
    <xf numFmtId="0" fontId="0" fillId="7" borderId="5" xfId="0" applyFont="1" applyFill="1" applyBorder="1" applyAlignment="1" applyProtection="1">
      <protection hidden="1"/>
    </xf>
    <xf numFmtId="0" fontId="0" fillId="7" borderId="6" xfId="0" applyFont="1" applyFill="1" applyBorder="1" applyAlignment="1" applyProtection="1">
      <alignment horizontal="center"/>
      <protection hidden="1"/>
    </xf>
    <xf numFmtId="0" fontId="0" fillId="4" borderId="0" xfId="0" applyFont="1" applyFill="1" applyProtection="1">
      <protection locked="0" hidden="1"/>
    </xf>
    <xf numFmtId="0" fontId="0" fillId="7" borderId="6" xfId="0" applyFont="1" applyFill="1" applyBorder="1" applyAlignment="1" applyProtection="1">
      <protection hidden="1"/>
    </xf>
    <xf numFmtId="0" fontId="0" fillId="7" borderId="7" xfId="0" applyFont="1" applyFill="1" applyBorder="1" applyAlignment="1" applyProtection="1">
      <protection hidden="1"/>
    </xf>
    <xf numFmtId="0" fontId="0" fillId="7" borderId="8" xfId="0" applyFont="1" applyFill="1" applyBorder="1" applyAlignment="1" applyProtection="1">
      <protection hidden="1"/>
    </xf>
    <xf numFmtId="2" fontId="0" fillId="7" borderId="6" xfId="0" applyNumberFormat="1" applyFont="1" applyFill="1" applyBorder="1" applyAlignment="1" applyProtection="1">
      <protection hidden="1"/>
    </xf>
    <xf numFmtId="2" fontId="0" fillId="7" borderId="8" xfId="0" applyNumberFormat="1" applyFont="1" applyFill="1" applyBorder="1" applyAlignment="1" applyProtection="1">
      <protection hidden="1"/>
    </xf>
    <xf numFmtId="0" fontId="0" fillId="2" borderId="9" xfId="0" applyFont="1" applyFill="1" applyBorder="1" applyAlignment="1" applyProtection="1">
      <alignment horizontal="right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hidden="1"/>
    </xf>
    <xf numFmtId="0" fontId="4" fillId="2" borderId="9" xfId="3" applyFont="1" applyFill="1" applyBorder="1" applyAlignment="1" applyProtection="1">
      <alignment horizontal="right" vertical="center"/>
      <protection hidden="1"/>
    </xf>
    <xf numFmtId="0" fontId="4" fillId="2" borderId="1" xfId="3" applyFont="1" applyFill="1" applyBorder="1" applyAlignment="1" applyProtection="1">
      <alignment horizontal="center" vertical="center"/>
      <protection hidden="1"/>
    </xf>
    <xf numFmtId="0" fontId="7" fillId="2" borderId="9" xfId="3" applyFont="1" applyFill="1" applyBorder="1" applyAlignment="1" applyProtection="1">
      <alignment horizontal="right" vertical="center"/>
      <protection hidden="1"/>
    </xf>
    <xf numFmtId="0" fontId="12" fillId="2" borderId="9" xfId="3" applyFont="1" applyFill="1" applyBorder="1" applyAlignment="1" applyProtection="1">
      <alignment horizontal="right" vertical="center"/>
      <protection hidden="1"/>
    </xf>
    <xf numFmtId="10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3" fillId="2" borderId="9" xfId="3" applyNumberFormat="1" applyFont="1" applyFill="1" applyBorder="1" applyAlignment="1" applyProtection="1">
      <alignment horizontal="right" vertical="center"/>
      <protection hidden="1"/>
    </xf>
    <xf numFmtId="0" fontId="8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ont="1" applyFill="1" applyBorder="1" applyAlignment="1" applyProtection="1">
      <alignment horizontal="center"/>
      <protection hidden="1"/>
    </xf>
    <xf numFmtId="0" fontId="0" fillId="7" borderId="7" xfId="0" applyFont="1" applyFill="1" applyBorder="1" applyAlignment="1" applyProtection="1">
      <alignment horizontal="center"/>
      <protection hidden="1"/>
    </xf>
    <xf numFmtId="0" fontId="4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ont="1" applyFill="1" applyProtection="1">
      <protection locked="0" hidden="1"/>
    </xf>
    <xf numFmtId="0" fontId="0" fillId="2" borderId="3" xfId="0" applyFont="1" applyFill="1" applyBorder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0" fontId="0" fillId="2" borderId="12" xfId="0" applyFont="1" applyFill="1" applyBorder="1" applyAlignment="1" applyProtection="1">
      <alignment vertical="center"/>
      <protection hidden="1"/>
    </xf>
    <xf numFmtId="0" fontId="0" fillId="7" borderId="0" xfId="0" applyFont="1" applyFill="1" applyBorder="1" applyAlignment="1" applyProtection="1">
      <protection hidden="1"/>
    </xf>
    <xf numFmtId="9" fontId="4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8" fillId="8" borderId="2" xfId="3" applyFont="1" applyFill="1" applyBorder="1" applyAlignment="1" applyProtection="1">
      <alignment horizontal="center" vertical="center"/>
      <protection hidden="1"/>
    </xf>
    <xf numFmtId="0" fontId="11" fillId="8" borderId="2" xfId="3" applyFont="1" applyFill="1" applyBorder="1" applyAlignment="1" applyProtection="1">
      <alignment horizontal="center" vertical="center"/>
      <protection hidden="1"/>
    </xf>
    <xf numFmtId="0" fontId="4" fillId="2" borderId="2" xfId="3" applyFont="1" applyFill="1" applyBorder="1" applyAlignment="1" applyProtection="1">
      <alignment horizontal="center" vertical="center" wrapText="1"/>
      <protection hidden="1"/>
    </xf>
    <xf numFmtId="0" fontId="11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alignment horizontal="center" vertical="center"/>
      <protection hidden="1"/>
    </xf>
    <xf numFmtId="0" fontId="0" fillId="7" borderId="0" xfId="0" applyFont="1" applyFill="1" applyBorder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4" fillId="2" borderId="3" xfId="3" applyFont="1" applyFill="1" applyBorder="1" applyAlignment="1" applyProtection="1">
      <alignment vertical="center" wrapText="1"/>
      <protection hidden="1"/>
    </xf>
    <xf numFmtId="166" fontId="4" fillId="0" borderId="2" xfId="3" applyNumberFormat="1" applyFont="1" applyFill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7" borderId="7" xfId="0" applyFont="1" applyFill="1" applyBorder="1" applyProtection="1"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Font="1" applyFill="1" applyBorder="1" applyAlignment="1" applyProtection="1">
      <alignment horizontal="left" vertical="center"/>
      <protection locked="0"/>
    </xf>
    <xf numFmtId="49" fontId="0" fillId="0" borderId="2" xfId="3" applyNumberFormat="1" applyFont="1" applyFill="1" applyBorder="1" applyAlignment="1" applyProtection="1">
      <alignment horizontal="left" vertical="center"/>
      <protection locked="0"/>
    </xf>
    <xf numFmtId="0" fontId="4" fillId="0" borderId="2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166" fontId="4" fillId="2" borderId="2" xfId="3" applyNumberFormat="1" applyFont="1" applyFill="1" applyBorder="1" applyAlignment="1" applyProtection="1">
      <alignment horizontal="left" vertical="center"/>
      <protection hidden="1"/>
    </xf>
    <xf numFmtId="166" fontId="11" fillId="0" borderId="2" xfId="3" applyNumberFormat="1" applyFont="1" applyFill="1" applyBorder="1" applyAlignment="1" applyProtection="1">
      <alignment horizontal="left" vertical="center"/>
      <protection locked="0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10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3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4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protection hidden="1"/>
    </xf>
    <xf numFmtId="1" fontId="4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8" fillId="2" borderId="2" xfId="3" applyNumberFormat="1" applyFont="1" applyFill="1" applyBorder="1" applyAlignment="1" applyProtection="1">
      <alignment horizontal="left" vertical="center"/>
      <protection hidden="1"/>
    </xf>
    <xf numFmtId="1" fontId="8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Font="1" applyBorder="1" applyProtection="1">
      <protection hidden="1"/>
    </xf>
    <xf numFmtId="10" fontId="12" fillId="0" borderId="2" xfId="3" applyNumberFormat="1" applyFont="1" applyFill="1" applyBorder="1" applyAlignment="1" applyProtection="1">
      <alignment horizontal="left" vertical="center"/>
      <protection locked="0"/>
    </xf>
    <xf numFmtId="166" fontId="12" fillId="0" borderId="2" xfId="3" applyNumberFormat="1" applyFont="1" applyFill="1" applyBorder="1" applyAlignment="1" applyProtection="1">
      <alignment horizontal="left" vertical="center"/>
      <protection locked="0"/>
    </xf>
    <xf numFmtId="0" fontId="0" fillId="7" borderId="1" xfId="0" applyFont="1" applyFill="1" applyBorder="1" applyAlignment="1" applyProtection="1">
      <alignment horizontal="center"/>
      <protection hidden="1"/>
    </xf>
    <xf numFmtId="166" fontId="13" fillId="0" borderId="2" xfId="3" applyNumberFormat="1" applyFont="1" applyFill="1" applyBorder="1" applyAlignment="1" applyProtection="1">
      <alignment horizontal="left" vertical="center"/>
      <protection locked="0"/>
    </xf>
    <xf numFmtId="0" fontId="12" fillId="0" borderId="2" xfId="3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horizontal="center" vertical="center"/>
      <protection hidden="1"/>
    </xf>
    <xf numFmtId="0" fontId="4" fillId="2" borderId="5" xfId="3" applyFont="1" applyFill="1" applyBorder="1" applyAlignment="1" applyProtection="1">
      <alignment vertical="center" wrapText="1"/>
      <protection hidden="1"/>
    </xf>
    <xf numFmtId="0" fontId="4" fillId="2" borderId="8" xfId="3" applyFont="1" applyFill="1" applyBorder="1" applyAlignment="1" applyProtection="1">
      <alignment vertical="center" wrapText="1"/>
      <protection hidden="1"/>
    </xf>
    <xf numFmtId="0" fontId="4" fillId="2" borderId="3" xfId="3" applyFont="1" applyFill="1" applyBorder="1" applyAlignment="1" applyProtection="1">
      <alignment horizontal="center" vertical="center" wrapText="1"/>
      <protection hidden="1"/>
    </xf>
    <xf numFmtId="0" fontId="11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vertical="center"/>
      <protection hidden="1"/>
    </xf>
    <xf numFmtId="0" fontId="0" fillId="2" borderId="5" xfId="0" applyFont="1" applyFill="1" applyBorder="1" applyAlignment="1" applyProtection="1">
      <alignment horizontal="center" vertical="center"/>
      <protection hidden="1"/>
    </xf>
    <xf numFmtId="165" fontId="4" fillId="9" borderId="10" xfId="5" applyNumberFormat="1" applyFont="1" applyFill="1" applyBorder="1" applyAlignment="1" applyProtection="1">
      <alignment horizontal="center" vertical="center"/>
      <protection locked="0"/>
    </xf>
    <xf numFmtId="9" fontId="4" fillId="9" borderId="10" xfId="5" applyFont="1" applyFill="1" applyBorder="1" applyAlignment="1" applyProtection="1">
      <alignment horizontal="center" vertical="center"/>
      <protection locked="0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4" fillId="0" borderId="10" xfId="3" applyNumberFormat="1" applyFont="1" applyFill="1" applyBorder="1" applyAlignment="1" applyProtection="1">
      <alignment horizontal="center" vertical="center"/>
      <protection locked="0"/>
    </xf>
    <xf numFmtId="0" fontId="0" fillId="13" borderId="7" xfId="0" applyFont="1" applyFill="1" applyBorder="1" applyProtection="1">
      <protection locked="0" hidden="1"/>
    </xf>
    <xf numFmtId="0" fontId="0" fillId="7" borderId="12" xfId="0" applyFont="1" applyFill="1" applyBorder="1" applyAlignment="1" applyProtection="1">
      <protection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1" fillId="8" borderId="9" xfId="3" applyNumberFormat="1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 wrapText="1"/>
      <protection hidden="1"/>
    </xf>
    <xf numFmtId="165" fontId="11" fillId="2" borderId="9" xfId="3" applyNumberFormat="1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left" vertical="center"/>
      <protection hidden="1"/>
    </xf>
    <xf numFmtId="0" fontId="16" fillId="2" borderId="9" xfId="3" applyFont="1" applyFill="1" applyBorder="1" applyAlignment="1" applyProtection="1">
      <alignment vertical="center"/>
      <protection hidden="1"/>
    </xf>
    <xf numFmtId="0" fontId="16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4" fillId="8" borderId="1" xfId="5" applyNumberFormat="1" applyFont="1" applyFill="1" applyBorder="1" applyAlignment="1" applyProtection="1">
      <alignment horizontal="left" vertical="center" wrapText="1"/>
      <protection hidden="1"/>
    </xf>
    <xf numFmtId="0" fontId="9" fillId="8" borderId="9" xfId="3" applyFont="1" applyFill="1" applyBorder="1" applyAlignment="1" applyProtection="1">
      <alignment horizontal="right" vertical="center" wrapText="1"/>
      <protection hidden="1"/>
    </xf>
    <xf numFmtId="0" fontId="9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4" fillId="8" borderId="1" xfId="3" applyFont="1" applyFill="1" applyBorder="1" applyAlignment="1" applyProtection="1">
      <alignment horizontal="center" vertical="center" wrapText="1"/>
      <protection hidden="1"/>
    </xf>
    <xf numFmtId="0" fontId="7" fillId="8" borderId="7" xfId="0" applyFont="1" applyFill="1" applyBorder="1" applyAlignment="1" applyProtection="1">
      <alignment horizontal="right" vertical="center" wrapText="1"/>
      <protection hidden="1"/>
    </xf>
    <xf numFmtId="0" fontId="7" fillId="8" borderId="0" xfId="0" applyFont="1" applyFill="1" applyBorder="1" applyAlignment="1" applyProtection="1">
      <alignment horizontal="left" vertical="center"/>
      <protection hidden="1"/>
    </xf>
    <xf numFmtId="166" fontId="11" fillId="8" borderId="8" xfId="0" applyNumberFormat="1" applyFont="1" applyFill="1" applyBorder="1" applyAlignment="1" applyProtection="1">
      <alignment horizontal="left" wrapText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4" fillId="8" borderId="1" xfId="3" applyFont="1" applyFill="1" applyBorder="1" applyAlignment="1" applyProtection="1">
      <alignment horizontal="left" vertical="center"/>
      <protection hidden="1"/>
    </xf>
    <xf numFmtId="0" fontId="0" fillId="8" borderId="9" xfId="3" quotePrefix="1" applyFont="1" applyFill="1" applyBorder="1" applyAlignment="1" applyProtection="1">
      <alignment horizontal="right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164" fontId="15" fillId="8" borderId="9" xfId="3" applyNumberFormat="1" applyFont="1" applyFill="1" applyBorder="1" applyAlignment="1" applyProtection="1">
      <alignment horizontal="right" vertical="center"/>
      <protection hidden="1"/>
    </xf>
    <xf numFmtId="164" fontId="15" fillId="8" borderId="1" xfId="3" applyNumberFormat="1" applyFont="1" applyFill="1" applyBorder="1" applyAlignment="1" applyProtection="1">
      <alignment horizontal="center" vertical="center"/>
      <protection hidden="1"/>
    </xf>
    <xf numFmtId="0" fontId="4" fillId="8" borderId="9" xfId="3" applyFont="1" applyFill="1" applyBorder="1" applyAlignment="1" applyProtection="1">
      <alignment horizontal="right" vertical="center" wrapText="1"/>
      <protection hidden="1"/>
    </xf>
    <xf numFmtId="0" fontId="11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ont="1" applyFill="1" applyBorder="1" applyAlignment="1" applyProtection="1">
      <alignment horizontal="center"/>
      <protection hidden="1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0" fontId="11" fillId="8" borderId="1" xfId="3" applyFont="1" applyFill="1" applyBorder="1" applyAlignment="1" applyProtection="1">
      <alignment horizontal="center" vertical="center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166" fontId="4" fillId="8" borderId="10" xfId="3" applyNumberFormat="1" applyFont="1" applyFill="1" applyBorder="1" applyAlignment="1" applyProtection="1">
      <alignment vertical="center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1" xfId="3" applyNumberFormat="1" applyFont="1" applyFill="1" applyBorder="1" applyAlignment="1" applyProtection="1">
      <alignment vertical="center"/>
    </xf>
    <xf numFmtId="166" fontId="0" fillId="2" borderId="1" xfId="3" applyNumberFormat="1" applyFont="1" applyFill="1" applyBorder="1" applyAlignment="1" applyProtection="1">
      <alignment vertical="center"/>
    </xf>
    <xf numFmtId="166" fontId="11" fillId="2" borderId="2" xfId="3" applyNumberFormat="1" applyFont="1" applyFill="1" applyBorder="1" applyAlignment="1" applyProtection="1">
      <alignment horizontal="left" vertical="center"/>
    </xf>
    <xf numFmtId="10" fontId="18" fillId="2" borderId="2" xfId="3" applyNumberFormat="1" applyFont="1" applyFill="1" applyBorder="1" applyAlignment="1" applyProtection="1">
      <alignment horizontal="left" vertical="center"/>
    </xf>
    <xf numFmtId="166" fontId="8" fillId="8" borderId="2" xfId="3" applyNumberFormat="1" applyFont="1" applyFill="1" applyBorder="1" applyAlignment="1" applyProtection="1">
      <alignment horizontal="left" vertical="center"/>
    </xf>
    <xf numFmtId="166" fontId="9" fillId="8" borderId="2" xfId="3" applyNumberFormat="1" applyFont="1" applyFill="1" applyBorder="1" applyAlignment="1" applyProtection="1">
      <alignment horizontal="left" vertical="center"/>
    </xf>
    <xf numFmtId="166" fontId="15" fillId="8" borderId="2" xfId="3" applyNumberFormat="1" applyFont="1" applyFill="1" applyBorder="1" applyAlignment="1" applyProtection="1">
      <alignment horizontal="left" vertical="center"/>
    </xf>
    <xf numFmtId="0" fontId="0" fillId="0" borderId="0" xfId="0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 hidden="1"/>
    </xf>
    <xf numFmtId="0" fontId="0" fillId="12" borderId="2" xfId="0" applyFont="1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4" fillId="12" borderId="9" xfId="3" applyFont="1" applyFill="1" applyBorder="1" applyAlignment="1" applyProtection="1">
      <alignment horizontal="right" vertical="center"/>
      <protection locked="0" hidden="1"/>
    </xf>
    <xf numFmtId="0" fontId="20" fillId="8" borderId="1" xfId="1" applyFont="1" applyFill="1" applyBorder="1" applyAlignment="1" applyProtection="1">
      <alignment horizontal="center" vertical="center"/>
      <protection hidden="1"/>
    </xf>
    <xf numFmtId="0" fontId="20" fillId="8" borderId="2" xfId="1" applyFont="1" applyFill="1" applyBorder="1" applyAlignment="1" applyProtection="1">
      <alignment horizontal="center" vertical="center"/>
      <protection hidden="1"/>
    </xf>
    <xf numFmtId="0" fontId="24" fillId="8" borderId="1" xfId="1" applyFont="1" applyFill="1" applyBorder="1" applyAlignment="1" applyProtection="1">
      <alignment horizontal="center" vertical="center"/>
    </xf>
    <xf numFmtId="166" fontId="8" fillId="8" borderId="9" xfId="3" applyNumberFormat="1" applyFont="1" applyFill="1" applyBorder="1" applyAlignment="1" applyProtection="1">
      <alignment horizontal="center" vertical="center"/>
    </xf>
    <xf numFmtId="166" fontId="8" fillId="8" borderId="2" xfId="3" applyNumberFormat="1" applyFont="1" applyFill="1" applyBorder="1" applyAlignment="1" applyProtection="1">
      <alignment horizontal="center" vertical="center"/>
    </xf>
    <xf numFmtId="166" fontId="8" fillId="2" borderId="9" xfId="3" applyNumberFormat="1" applyFont="1" applyFill="1" applyBorder="1" applyAlignment="1" applyProtection="1">
      <alignment horizontal="center" vertical="center"/>
    </xf>
    <xf numFmtId="166" fontId="8" fillId="2" borderId="2" xfId="3" applyNumberFormat="1" applyFont="1" applyFill="1" applyBorder="1" applyAlignment="1" applyProtection="1">
      <alignment horizontal="center" vertical="center"/>
    </xf>
    <xf numFmtId="0" fontId="13" fillId="2" borderId="9" xfId="3" applyFont="1" applyFill="1" applyBorder="1" applyAlignment="1" applyProtection="1">
      <alignment horizontal="center" vertical="center"/>
      <protection hidden="1"/>
    </xf>
    <xf numFmtId="0" fontId="13" fillId="2" borderId="1" xfId="3" applyFont="1" applyFill="1" applyBorder="1" applyAlignment="1" applyProtection="1">
      <alignment horizontal="center" vertical="center"/>
      <protection hidden="1"/>
    </xf>
    <xf numFmtId="0" fontId="13" fillId="2" borderId="2" xfId="3" applyFont="1" applyFill="1" applyBorder="1" applyAlignment="1" applyProtection="1">
      <alignment horizontal="center" vertical="center"/>
      <protection hidden="1"/>
    </xf>
    <xf numFmtId="166" fontId="10" fillId="2" borderId="9" xfId="3" applyNumberFormat="1" applyFont="1" applyFill="1" applyBorder="1" applyAlignment="1" applyProtection="1">
      <alignment horizontal="center" vertical="center"/>
    </xf>
    <xf numFmtId="166" fontId="10" fillId="2" borderId="2" xfId="3" applyNumberFormat="1" applyFont="1" applyFill="1" applyBorder="1" applyAlignment="1" applyProtection="1">
      <alignment horizontal="center" vertical="center"/>
    </xf>
    <xf numFmtId="166" fontId="14" fillId="2" borderId="9" xfId="3" applyNumberFormat="1" applyFont="1" applyFill="1" applyBorder="1" applyAlignment="1" applyProtection="1">
      <alignment horizontal="center" vertical="center"/>
    </xf>
    <xf numFmtId="166" fontId="14" fillId="2" borderId="1" xfId="3" applyNumberFormat="1" applyFont="1" applyFill="1" applyBorder="1" applyAlignment="1" applyProtection="1">
      <alignment horizontal="center" vertical="center"/>
    </xf>
    <xf numFmtId="166" fontId="14" fillId="2" borderId="2" xfId="3" applyNumberFormat="1" applyFont="1" applyFill="1" applyBorder="1" applyAlignment="1" applyProtection="1">
      <alignment horizontal="center" vertical="center"/>
    </xf>
    <xf numFmtId="0" fontId="17" fillId="10" borderId="9" xfId="3" applyFont="1" applyFill="1" applyBorder="1" applyAlignment="1" applyProtection="1">
      <alignment horizontal="center" vertical="center"/>
      <protection hidden="1"/>
    </xf>
    <xf numFmtId="0" fontId="17" fillId="10" borderId="1" xfId="3" applyFont="1" applyFill="1" applyBorder="1" applyAlignment="1" applyProtection="1">
      <alignment horizontal="center" vertical="center"/>
      <protection hidden="1"/>
    </xf>
    <xf numFmtId="0" fontId="17" fillId="10" borderId="2" xfId="3" applyFont="1" applyFill="1" applyBorder="1" applyAlignment="1" applyProtection="1">
      <alignment horizontal="center" vertical="center"/>
      <protection hidden="1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6" fillId="10" borderId="10" xfId="3" applyFont="1" applyFill="1" applyBorder="1" applyAlignment="1" applyProtection="1">
      <alignment horizontal="center" vertical="center"/>
      <protection hidden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0" fontId="14" fillId="2" borderId="9" xfId="0" applyFont="1" applyFill="1" applyBorder="1" applyAlignment="1" applyProtection="1">
      <alignment horizontal="right" vertical="center" wrapText="1"/>
      <protection hidden="1"/>
    </xf>
    <xf numFmtId="0" fontId="14" fillId="2" borderId="2" xfId="0" applyFont="1" applyFill="1" applyBorder="1" applyAlignment="1" applyProtection="1">
      <alignment horizontal="right" vertical="center" wrapText="1"/>
      <protection hidden="1"/>
    </xf>
    <xf numFmtId="0" fontId="16" fillId="10" borderId="9" xfId="3" applyFont="1" applyFill="1" applyBorder="1" applyAlignment="1" applyProtection="1">
      <alignment horizontal="right" vertical="center"/>
      <protection hidden="1"/>
    </xf>
    <xf numFmtId="0" fontId="16" fillId="10" borderId="1" xfId="3" applyFont="1" applyFill="1" applyBorder="1" applyAlignment="1" applyProtection="1">
      <alignment horizontal="right" vertical="center"/>
      <protection hidden="1"/>
    </xf>
    <xf numFmtId="166" fontId="11" fillId="0" borderId="9" xfId="3" applyNumberFormat="1" applyFont="1" applyFill="1" applyBorder="1" applyAlignment="1" applyProtection="1">
      <alignment horizontal="center" vertical="center"/>
      <protection locked="0"/>
    </xf>
    <xf numFmtId="166" fontId="11" fillId="0" borderId="2" xfId="3" applyNumberFormat="1" applyFont="1" applyFill="1" applyBorder="1" applyAlignment="1" applyProtection="1">
      <alignment horizontal="center" vertical="center"/>
      <protection locked="0"/>
    </xf>
    <xf numFmtId="0" fontId="13" fillId="2" borderId="10" xfId="3" applyFont="1" applyFill="1" applyBorder="1" applyAlignment="1" applyProtection="1">
      <alignment horizontal="center" vertical="center"/>
      <protection hidden="1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2" xfId="3" applyNumberFormat="1" applyFont="1" applyFill="1" applyBorder="1" applyAlignment="1" applyProtection="1">
      <alignment horizontal="center" vertical="center"/>
      <protection locked="0"/>
    </xf>
    <xf numFmtId="0" fontId="14" fillId="2" borderId="10" xfId="0" applyFont="1" applyFill="1" applyBorder="1" applyAlignment="1" applyProtection="1">
      <alignment horizontal="right" vertical="center"/>
      <protection hidden="1"/>
    </xf>
    <xf numFmtId="2" fontId="14" fillId="2" borderId="9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10" xfId="0" applyNumberFormat="1" applyFont="1" applyFill="1" applyBorder="1" applyAlignment="1" applyProtection="1">
      <alignment horizontal="center" vertical="center"/>
    </xf>
    <xf numFmtId="166" fontId="4" fillId="8" borderId="9" xfId="3" applyNumberFormat="1" applyFont="1" applyFill="1" applyBorder="1" applyAlignment="1" applyProtection="1">
      <alignment horizontal="center" vertical="center"/>
    </xf>
    <xf numFmtId="166" fontId="4" fillId="8" borderId="2" xfId="3" applyNumberFormat="1" applyFont="1" applyFill="1" applyBorder="1" applyAlignment="1" applyProtection="1">
      <alignment horizontal="center" vertical="center"/>
    </xf>
    <xf numFmtId="0" fontId="4" fillId="2" borderId="4" xfId="3" applyFont="1" applyFill="1" applyBorder="1" applyAlignment="1" applyProtection="1">
      <alignment horizontal="right" vertical="center" wrapText="1"/>
      <protection hidden="1"/>
    </xf>
    <xf numFmtId="0" fontId="4" fillId="2" borderId="7" xfId="3" applyFont="1" applyFill="1" applyBorder="1" applyAlignment="1" applyProtection="1">
      <alignment horizontal="right" vertical="center" wrapText="1"/>
      <protection hidden="1"/>
    </xf>
    <xf numFmtId="0" fontId="4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2" fontId="16" fillId="10" borderId="9" xfId="5" applyNumberFormat="1" applyFont="1" applyFill="1" applyBorder="1" applyAlignment="1" applyProtection="1">
      <alignment horizontal="center" vertical="center"/>
    </xf>
    <xf numFmtId="2" fontId="16" fillId="10" borderId="2" xfId="5" applyNumberFormat="1" applyFont="1" applyFill="1" applyBorder="1" applyAlignment="1" applyProtection="1">
      <alignment horizontal="center" vertical="center"/>
    </xf>
    <xf numFmtId="0" fontId="13" fillId="8" borderId="9" xfId="3" applyFont="1" applyFill="1" applyBorder="1" applyAlignment="1" applyProtection="1">
      <alignment horizontal="center" vertical="center"/>
      <protection hidden="1"/>
    </xf>
    <xf numFmtId="0" fontId="13" fillId="8" borderId="1" xfId="3" applyFont="1" applyFill="1" applyBorder="1" applyAlignment="1" applyProtection="1">
      <alignment horizontal="center" vertical="center"/>
      <protection hidden="1"/>
    </xf>
    <xf numFmtId="0" fontId="13" fillId="8" borderId="2" xfId="3" applyFont="1" applyFill="1" applyBorder="1" applyAlignment="1" applyProtection="1">
      <alignment horizontal="center" vertical="center"/>
      <protection hidden="1"/>
    </xf>
    <xf numFmtId="2" fontId="14" fillId="2" borderId="4" xfId="0" applyNumberFormat="1" applyFont="1" applyFill="1" applyBorder="1" applyAlignment="1" applyProtection="1">
      <alignment horizontal="center" vertical="center"/>
    </xf>
    <xf numFmtId="2" fontId="14" fillId="2" borderId="5" xfId="0" applyNumberFormat="1" applyFont="1" applyFill="1" applyBorder="1" applyAlignment="1" applyProtection="1">
      <alignment horizontal="center" vertical="center"/>
    </xf>
    <xf numFmtId="166" fontId="10" fillId="8" borderId="9" xfId="3" applyNumberFormat="1" applyFont="1" applyFill="1" applyBorder="1" applyAlignment="1" applyProtection="1">
      <alignment horizontal="center" vertical="center"/>
    </xf>
    <xf numFmtId="166" fontId="10" fillId="8" borderId="2" xfId="3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right" vertical="center" wrapText="1"/>
      <protection hidden="1"/>
    </xf>
    <xf numFmtId="0" fontId="0" fillId="2" borderId="7" xfId="0" applyFont="1" applyFill="1" applyBorder="1" applyAlignment="1" applyProtection="1">
      <alignment horizontal="right" vertical="center" wrapText="1"/>
      <protection hidden="1"/>
    </xf>
    <xf numFmtId="0" fontId="0" fillId="2" borderId="11" xfId="0" applyFont="1" applyFill="1" applyBorder="1" applyAlignment="1" applyProtection="1">
      <alignment horizontal="right" vertical="center" wrapText="1"/>
      <protection hidden="1"/>
    </xf>
    <xf numFmtId="2" fontId="15" fillId="8" borderId="4" xfId="0" applyNumberFormat="1" applyFont="1" applyFill="1" applyBorder="1" applyAlignment="1" applyProtection="1">
      <alignment horizontal="center" vertical="center"/>
    </xf>
    <xf numFmtId="2" fontId="15" fillId="8" borderId="5" xfId="0" applyNumberFormat="1" applyFont="1" applyFill="1" applyBorder="1" applyAlignment="1" applyProtection="1">
      <alignment horizontal="center" vertical="center"/>
    </xf>
    <xf numFmtId="2" fontId="15" fillId="8" borderId="9" xfId="0" applyNumberFormat="1" applyFont="1" applyFill="1" applyBorder="1" applyAlignment="1" applyProtection="1">
      <alignment horizontal="center" vertical="center"/>
    </xf>
    <xf numFmtId="2" fontId="15" fillId="8" borderId="2" xfId="0" applyNumberFormat="1" applyFont="1" applyFill="1" applyBorder="1" applyAlignment="1" applyProtection="1">
      <alignment horizontal="center" vertical="center"/>
    </xf>
    <xf numFmtId="0" fontId="23" fillId="8" borderId="1" xfId="3" applyFont="1" applyFill="1" applyBorder="1" applyAlignment="1" applyProtection="1">
      <alignment horizontal="center" vertical="center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2" xfId="3" applyNumberFormat="1" applyFont="1" applyFill="1" applyBorder="1" applyAlignment="1" applyProtection="1">
      <alignment horizontal="center" vertical="center"/>
    </xf>
    <xf numFmtId="0" fontId="15" fillId="8" borderId="9" xfId="0" applyFont="1" applyFill="1" applyBorder="1" applyAlignment="1" applyProtection="1">
      <alignment horizontal="right" vertical="center" wrapText="1"/>
      <protection hidden="1"/>
    </xf>
    <xf numFmtId="0" fontId="15" fillId="8" borderId="2" xfId="0" applyFont="1" applyFill="1" applyBorder="1" applyAlignment="1" applyProtection="1">
      <alignment horizontal="right" vertical="center" wrapText="1"/>
      <protection hidden="1"/>
    </xf>
    <xf numFmtId="166" fontId="4" fillId="2" borderId="10" xfId="3" applyNumberFormat="1" applyFont="1" applyFill="1" applyBorder="1" applyAlignment="1" applyProtection="1">
      <alignment horizontal="center" vertical="center"/>
    </xf>
    <xf numFmtId="166" fontId="14" fillId="8" borderId="9" xfId="3" applyNumberFormat="1" applyFont="1" applyFill="1" applyBorder="1" applyAlignment="1" applyProtection="1">
      <alignment horizontal="center" vertical="center"/>
    </xf>
    <xf numFmtId="166" fontId="14" fillId="8" borderId="2" xfId="3" applyNumberFormat="1" applyFont="1" applyFill="1" applyBorder="1" applyAlignment="1" applyProtection="1">
      <alignment horizontal="center" vertical="center"/>
    </xf>
    <xf numFmtId="166" fontId="14" fillId="8" borderId="10" xfId="3" applyNumberFormat="1" applyFont="1" applyFill="1" applyBorder="1" applyAlignment="1" applyProtection="1">
      <alignment horizontal="center" vertical="center"/>
    </xf>
    <xf numFmtId="2" fontId="16" fillId="10" borderId="10" xfId="5" applyNumberFormat="1" applyFont="1" applyFill="1" applyBorder="1" applyAlignment="1" applyProtection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9" fillId="8" borderId="10" xfId="0" applyNumberFormat="1" applyFont="1" applyFill="1" applyBorder="1" applyAlignment="1" applyProtection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4" xfId="0" applyFont="1" applyFill="1" applyBorder="1" applyAlignment="1" applyProtection="1">
      <alignment horizontal="center" vertical="center" wrapText="1"/>
      <protection hidden="1"/>
    </xf>
    <xf numFmtId="0" fontId="0" fillId="2" borderId="5" xfId="0" applyFont="1" applyFill="1" applyBorder="1" applyAlignment="1" applyProtection="1">
      <alignment horizontal="center" vertical="center" wrapText="1"/>
      <protection hidden="1"/>
    </xf>
    <xf numFmtId="0" fontId="0" fillId="2" borderId="11" xfId="0" applyFont="1" applyFill="1" applyBorder="1" applyAlignment="1" applyProtection="1">
      <alignment horizontal="center" vertical="center" wrapText="1"/>
      <protection hidden="1"/>
    </xf>
    <xf numFmtId="0" fontId="0" fillId="2" borderId="13" xfId="0" applyFont="1" applyFill="1" applyBorder="1" applyAlignment="1" applyProtection="1">
      <alignment horizontal="center" vertical="center" wrapText="1"/>
      <protection hidden="1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CCF04A"/>
      <color rgb="FFE0F68E"/>
      <color rgb="FFEBF9B9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topLeftCell="A10" zoomScale="90" zoomScaleNormal="90" workbookViewId="0">
      <selection activeCell="H30" sqref="H30"/>
    </sheetView>
  </sheetViews>
  <sheetFormatPr defaultColWidth="0" defaultRowHeight="14.4" zeroHeight="1"/>
  <cols>
    <col min="1" max="1" width="1.6640625" style="1" customWidth="1"/>
    <col min="2" max="2" width="36.109375" style="2" customWidth="1"/>
    <col min="3" max="3" width="2.88671875" style="4" customWidth="1"/>
    <col min="4" max="4" width="50.6640625" style="3" customWidth="1"/>
    <col min="5" max="5" width="3.109375" style="1" customWidth="1"/>
    <col min="6" max="6" width="40" style="1" customWidth="1"/>
    <col min="7" max="7" width="6.33203125" style="1" customWidth="1"/>
    <col min="8" max="8" width="15.6640625" style="1" customWidth="1"/>
    <col min="9" max="9" width="12.88671875" style="1" customWidth="1"/>
    <col min="10" max="10" width="16.44140625" style="1" customWidth="1"/>
    <col min="11" max="11" width="12.109375" style="1" customWidth="1"/>
    <col min="12" max="12" width="3.109375" style="73" customWidth="1"/>
    <col min="13" max="13" width="37.6640625" style="6" hidden="1" customWidth="1"/>
    <col min="14" max="16384" width="9.109375" style="139" hidden="1"/>
  </cols>
  <sheetData>
    <row r="1" spans="1:13" ht="25.8">
      <c r="A1" s="160" t="s">
        <v>105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2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63" t="s">
        <v>42</v>
      </c>
      <c r="C3" s="164"/>
      <c r="D3" s="165"/>
      <c r="E3" s="41"/>
      <c r="F3" s="166" t="s">
        <v>72</v>
      </c>
      <c r="G3" s="166"/>
      <c r="H3" s="166"/>
      <c r="I3" s="166"/>
      <c r="J3" s="166"/>
      <c r="K3" s="166"/>
      <c r="L3" s="19"/>
      <c r="M3" s="11" t="s">
        <v>36</v>
      </c>
    </row>
    <row r="4" spans="1:13" ht="18" customHeight="1">
      <c r="A4" s="17"/>
      <c r="B4" s="22" t="s">
        <v>3</v>
      </c>
      <c r="C4" s="23"/>
      <c r="D4" s="55" t="s">
        <v>107</v>
      </c>
      <c r="E4" s="41"/>
      <c r="F4" s="54"/>
      <c r="G4" s="82"/>
      <c r="H4" s="97" t="s">
        <v>76</v>
      </c>
      <c r="I4" s="226" t="s">
        <v>77</v>
      </c>
      <c r="J4" s="227"/>
      <c r="K4" s="222" t="s">
        <v>52</v>
      </c>
      <c r="L4" s="19"/>
      <c r="M4" s="11" t="s">
        <v>37</v>
      </c>
    </row>
    <row r="5" spans="1:13" ht="18" customHeight="1">
      <c r="A5" s="17"/>
      <c r="B5" s="22" t="s">
        <v>7</v>
      </c>
      <c r="C5" s="23"/>
      <c r="D5" s="88" t="s">
        <v>23</v>
      </c>
      <c r="E5" s="41"/>
      <c r="F5" s="224" t="s">
        <v>95</v>
      </c>
      <c r="G5" s="225"/>
      <c r="H5" s="94">
        <f>738.01-56.9</f>
        <v>681.11</v>
      </c>
      <c r="I5" s="228"/>
      <c r="J5" s="229"/>
      <c r="K5" s="222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6" t="s">
        <v>108</v>
      </c>
      <c r="E6" s="41"/>
      <c r="F6" s="211" t="s">
        <v>56</v>
      </c>
      <c r="G6" s="212"/>
      <c r="H6" s="94">
        <v>79.03</v>
      </c>
      <c r="I6" s="127">
        <v>79.03</v>
      </c>
      <c r="J6" s="93" t="s">
        <v>59</v>
      </c>
      <c r="K6" s="130">
        <f>IF(J6=$M$26,0,I6)</f>
        <v>0</v>
      </c>
      <c r="L6" s="21"/>
      <c r="M6" s="11" t="s">
        <v>12</v>
      </c>
    </row>
    <row r="7" spans="1:13" ht="18" customHeight="1">
      <c r="A7" s="17"/>
      <c r="B7" s="49" t="s">
        <v>66</v>
      </c>
      <c r="C7" s="25"/>
      <c r="D7" s="88" t="s">
        <v>29</v>
      </c>
      <c r="E7" s="41"/>
      <c r="F7" s="211" t="s">
        <v>57</v>
      </c>
      <c r="G7" s="212"/>
      <c r="H7" s="94">
        <v>273.51</v>
      </c>
      <c r="I7" s="127">
        <v>274</v>
      </c>
      <c r="J7" s="93" t="str">
        <f>J6</f>
        <v>płacą najemcy</v>
      </c>
      <c r="K7" s="130">
        <f>IF(J7=$M$26,0,I7)</f>
        <v>0</v>
      </c>
      <c r="L7" s="21"/>
      <c r="M7" s="7">
        <f>IF(D5=M6,3,IF(D5=M5,2,1))</f>
        <v>2</v>
      </c>
    </row>
    <row r="8" spans="1:13" ht="18" customHeight="1">
      <c r="A8" s="17"/>
      <c r="B8" s="36" t="s">
        <v>0</v>
      </c>
      <c r="C8" s="25"/>
      <c r="D8" s="55">
        <v>41.54</v>
      </c>
      <c r="E8" s="41"/>
      <c r="F8" s="211" t="s">
        <v>58</v>
      </c>
      <c r="G8" s="212"/>
      <c r="H8" s="94">
        <v>75</v>
      </c>
      <c r="I8" s="127">
        <v>75</v>
      </c>
      <c r="J8" s="93" t="str">
        <f>J6</f>
        <v>płacą najemcy</v>
      </c>
      <c r="K8" s="130">
        <f>IF(J8=$M$26,0,I8)</f>
        <v>0</v>
      </c>
      <c r="L8" s="21"/>
      <c r="M8" s="16" t="s">
        <v>9</v>
      </c>
    </row>
    <row r="9" spans="1:13" ht="18" customHeight="1">
      <c r="A9" s="17"/>
      <c r="B9" s="54" t="s">
        <v>67</v>
      </c>
      <c r="C9" s="79"/>
      <c r="D9" s="140" t="str">
        <f>IF(M11=3,M29,M30)</f>
        <v>własność</v>
      </c>
      <c r="E9" s="41"/>
      <c r="F9" s="211" t="s">
        <v>90</v>
      </c>
      <c r="G9" s="212"/>
      <c r="H9" s="94"/>
      <c r="I9" s="127">
        <v>0</v>
      </c>
      <c r="J9" s="93" t="str">
        <f>J6</f>
        <v>płacą najemcy</v>
      </c>
      <c r="K9" s="130">
        <f>IF(J9=$M$26,0,I9)</f>
        <v>0</v>
      </c>
      <c r="L9" s="21"/>
      <c r="M9" s="16" t="s">
        <v>10</v>
      </c>
    </row>
    <row r="10" spans="1:13" ht="18" customHeight="1">
      <c r="A10" s="17"/>
      <c r="B10" s="54" t="s">
        <v>68</v>
      </c>
      <c r="C10" s="89"/>
      <c r="D10" s="141" t="str">
        <f>IF(M11&gt;1,M24,M22)</f>
        <v>nie dotyczy</v>
      </c>
      <c r="E10" s="41"/>
      <c r="F10" s="211" t="s">
        <v>85</v>
      </c>
      <c r="G10" s="212"/>
      <c r="H10" s="131">
        <f>H5-SUM(H6:H9)</f>
        <v>253.57000000000005</v>
      </c>
      <c r="I10" s="132"/>
      <c r="J10" s="133"/>
      <c r="K10" s="130">
        <f>H10</f>
        <v>253.57000000000005</v>
      </c>
      <c r="L10" s="21"/>
      <c r="M10" s="16" t="s">
        <v>29</v>
      </c>
    </row>
    <row r="11" spans="1:13" ht="18" customHeight="1">
      <c r="A11" s="17"/>
      <c r="B11" s="49" t="s">
        <v>100</v>
      </c>
      <c r="C11" s="25"/>
      <c r="D11" s="57">
        <v>1</v>
      </c>
      <c r="E11" s="41"/>
      <c r="F11" s="107" t="s">
        <v>86</v>
      </c>
      <c r="G11" s="111"/>
      <c r="H11" s="94"/>
      <c r="I11" s="126">
        <v>0</v>
      </c>
      <c r="J11" s="98" t="str">
        <f>J6</f>
        <v>płacą najemcy</v>
      </c>
      <c r="K11" s="130">
        <f>IF(J11=$M$26,0,I11)</f>
        <v>0</v>
      </c>
      <c r="L11" s="21"/>
      <c r="M11" s="16">
        <f>IF(D7=M10,3,1)</f>
        <v>3</v>
      </c>
    </row>
    <row r="12" spans="1:13" ht="18" customHeight="1">
      <c r="A12" s="18"/>
      <c r="B12" s="49" t="s">
        <v>101</v>
      </c>
      <c r="C12" s="25"/>
      <c r="D12" s="58"/>
      <c r="E12" s="41"/>
      <c r="F12" s="107" t="s">
        <v>55</v>
      </c>
      <c r="G12" s="112"/>
      <c r="H12" s="94"/>
      <c r="I12" s="126">
        <v>90</v>
      </c>
      <c r="J12" s="98" t="str">
        <f>J6</f>
        <v>płacą najemcy</v>
      </c>
      <c r="K12" s="130">
        <f>IF(J12=$M$26,0,I12)</f>
        <v>0</v>
      </c>
      <c r="L12" s="21"/>
      <c r="M12" s="8" t="s">
        <v>11</v>
      </c>
    </row>
    <row r="13" spans="1:13" ht="18" customHeight="1">
      <c r="A13" s="17"/>
      <c r="B13" s="65" t="s">
        <v>39</v>
      </c>
      <c r="C13" s="66"/>
      <c r="D13" s="57">
        <v>4</v>
      </c>
      <c r="E13" s="41"/>
      <c r="F13" s="107" t="s">
        <v>44</v>
      </c>
      <c r="G13" s="112"/>
      <c r="H13" s="94"/>
      <c r="I13" s="126">
        <v>50</v>
      </c>
      <c r="J13" s="98" t="s">
        <v>54</v>
      </c>
      <c r="K13" s="130">
        <f>IF(J13=$M$26,0,I13)</f>
        <v>50</v>
      </c>
      <c r="L13" s="21"/>
      <c r="M13" s="8" t="s">
        <v>83</v>
      </c>
    </row>
    <row r="14" spans="1:13" ht="18" customHeight="1">
      <c r="A14" s="17"/>
      <c r="B14" s="65" t="s">
        <v>40</v>
      </c>
      <c r="C14" s="66"/>
      <c r="D14" s="58" t="s">
        <v>109</v>
      </c>
      <c r="E14" s="41"/>
      <c r="F14" s="109" t="s">
        <v>53</v>
      </c>
      <c r="G14" s="110"/>
      <c r="H14" s="223">
        <f>SUM(K6:K13)</f>
        <v>303.57000000000005</v>
      </c>
      <c r="I14" s="223"/>
      <c r="J14" s="223"/>
      <c r="K14" s="223"/>
      <c r="L14" s="21"/>
      <c r="M14" s="8" t="s">
        <v>84</v>
      </c>
    </row>
    <row r="15" spans="1:13" ht="18" customHeight="1">
      <c r="A15" s="17"/>
      <c r="B15" s="65" t="s">
        <v>62</v>
      </c>
      <c r="C15" s="66"/>
      <c r="D15" s="58">
        <v>4</v>
      </c>
      <c r="E15" s="41"/>
      <c r="F15" s="12"/>
      <c r="G15" s="12"/>
      <c r="H15" s="12"/>
      <c r="I15" s="12"/>
      <c r="J15" s="12"/>
      <c r="K15" s="12"/>
      <c r="L15" s="21"/>
      <c r="M15" s="8" t="s">
        <v>35</v>
      </c>
    </row>
    <row r="16" spans="1:13" ht="18" customHeight="1">
      <c r="A16" s="17"/>
      <c r="B16" s="24" t="s">
        <v>30</v>
      </c>
      <c r="C16" s="25"/>
      <c r="D16" s="88" t="s">
        <v>84</v>
      </c>
      <c r="E16" s="41"/>
      <c r="F16" s="163" t="s">
        <v>73</v>
      </c>
      <c r="G16" s="164"/>
      <c r="H16" s="164"/>
      <c r="I16" s="164"/>
      <c r="J16" s="164"/>
      <c r="K16" s="165"/>
      <c r="L16" s="34"/>
      <c r="M16" s="8">
        <v>1</v>
      </c>
    </row>
    <row r="17" spans="1:14" ht="18" customHeight="1">
      <c r="A17" s="17"/>
      <c r="B17" s="203" t="s">
        <v>26</v>
      </c>
      <c r="C17" s="38"/>
      <c r="D17" s="90" t="s">
        <v>102</v>
      </c>
      <c r="E17" s="41"/>
      <c r="F17" s="105"/>
      <c r="G17" s="106"/>
      <c r="H17" s="152" t="s">
        <v>51</v>
      </c>
      <c r="I17" s="154"/>
      <c r="J17" s="175" t="s">
        <v>49</v>
      </c>
      <c r="K17" s="175"/>
      <c r="L17" s="21"/>
      <c r="M17" s="9" t="s">
        <v>87</v>
      </c>
    </row>
    <row r="18" spans="1:14" ht="18" customHeight="1">
      <c r="A18" s="17"/>
      <c r="B18" s="204"/>
      <c r="C18" s="39"/>
      <c r="D18" s="167"/>
      <c r="E18" s="18"/>
      <c r="F18" s="83" t="s">
        <v>60</v>
      </c>
      <c r="G18" s="68"/>
      <c r="H18" s="173">
        <f>710+730+740+770</f>
        <v>2950</v>
      </c>
      <c r="I18" s="174"/>
      <c r="J18" s="173">
        <f>730+740+710+770</f>
        <v>2950</v>
      </c>
      <c r="K18" s="174"/>
      <c r="L18" s="21"/>
      <c r="M18" s="10">
        <f>ABS(IPMT(D44/12,1,D41*12,D46)+IPMT(D44/12,12,D41*12,D46))/2</f>
        <v>627.11831896461172</v>
      </c>
    </row>
    <row r="19" spans="1:14" ht="18" customHeight="1">
      <c r="A19" s="17"/>
      <c r="B19" s="204"/>
      <c r="C19" s="39"/>
      <c r="D19" s="168"/>
      <c r="E19" s="18"/>
      <c r="F19" s="123" t="s">
        <v>63</v>
      </c>
      <c r="G19" s="124"/>
      <c r="H19" s="176">
        <v>0</v>
      </c>
      <c r="I19" s="177"/>
      <c r="J19" s="176">
        <f>H19</f>
        <v>0</v>
      </c>
      <c r="K19" s="177"/>
      <c r="L19" s="87"/>
      <c r="M19" s="11" t="s">
        <v>25</v>
      </c>
    </row>
    <row r="20" spans="1:14" ht="18" customHeight="1">
      <c r="A20" s="18"/>
      <c r="B20" s="204"/>
      <c r="C20" s="39"/>
      <c r="D20" s="67" t="s">
        <v>103</v>
      </c>
      <c r="E20" s="18"/>
      <c r="F20" s="84" t="s">
        <v>61</v>
      </c>
      <c r="G20" s="124"/>
      <c r="H20" s="182">
        <f>H19*$D$15</f>
        <v>0</v>
      </c>
      <c r="I20" s="183"/>
      <c r="J20" s="182">
        <f>J19*$D$15</f>
        <v>0</v>
      </c>
      <c r="K20" s="183"/>
      <c r="L20" s="21"/>
      <c r="M20" s="11" t="s">
        <v>24</v>
      </c>
    </row>
    <row r="21" spans="1:14" ht="18" customHeight="1">
      <c r="A21" s="18"/>
      <c r="B21" s="204"/>
      <c r="C21" s="39"/>
      <c r="D21" s="167" t="s">
        <v>110</v>
      </c>
      <c r="E21" s="18"/>
      <c r="F21" s="52" t="s">
        <v>93</v>
      </c>
      <c r="G21" s="42">
        <v>0.1</v>
      </c>
      <c r="H21" s="213">
        <f>H18*G21</f>
        <v>295</v>
      </c>
      <c r="I21" s="214"/>
      <c r="J21" s="217">
        <f>J18*G21</f>
        <v>295</v>
      </c>
      <c r="K21" s="217"/>
      <c r="L21" s="21"/>
      <c r="M21" s="11">
        <f>IF(B30=M19,1,2)</f>
        <v>1</v>
      </c>
    </row>
    <row r="22" spans="1:14" ht="18" customHeight="1">
      <c r="A22" s="17"/>
      <c r="B22" s="204"/>
      <c r="C22" s="39"/>
      <c r="D22" s="167"/>
      <c r="E22" s="41"/>
      <c r="F22" s="52" t="s">
        <v>92</v>
      </c>
      <c r="G22" s="42">
        <v>0.7</v>
      </c>
      <c r="H22" s="213">
        <f>H18*G22</f>
        <v>2065</v>
      </c>
      <c r="I22" s="214"/>
      <c r="J22" s="213">
        <f>J18*G22</f>
        <v>2065</v>
      </c>
      <c r="K22" s="214"/>
      <c r="L22" s="21"/>
      <c r="M22" s="37" t="s">
        <v>69</v>
      </c>
    </row>
    <row r="23" spans="1:14" ht="18" customHeight="1">
      <c r="A23" s="18"/>
      <c r="B23" s="204"/>
      <c r="C23" s="39"/>
      <c r="D23" s="167"/>
      <c r="E23" s="19"/>
      <c r="F23" s="107" t="s">
        <v>94</v>
      </c>
      <c r="G23" s="108">
        <f>(G21*12+G22)/12</f>
        <v>0.15833333333333335</v>
      </c>
      <c r="H23" s="182">
        <f>H18*$G$23</f>
        <v>467.08333333333337</v>
      </c>
      <c r="I23" s="183"/>
      <c r="J23" s="182">
        <f>J18*$G$23</f>
        <v>467.08333333333337</v>
      </c>
      <c r="K23" s="183"/>
      <c r="L23" s="21"/>
      <c r="M23" s="37" t="s">
        <v>70</v>
      </c>
    </row>
    <row r="24" spans="1:14" ht="18" customHeight="1">
      <c r="A24" s="17"/>
      <c r="B24" s="205"/>
      <c r="C24" s="40"/>
      <c r="D24" s="168"/>
      <c r="E24" s="17"/>
      <c r="F24" s="54" t="s">
        <v>48</v>
      </c>
      <c r="G24" s="50"/>
      <c r="H24" s="176">
        <v>200</v>
      </c>
      <c r="I24" s="193"/>
      <c r="J24" s="193"/>
      <c r="K24" s="177"/>
      <c r="L24" s="21"/>
      <c r="M24" s="37" t="s">
        <v>38</v>
      </c>
    </row>
    <row r="25" spans="1:14" ht="18" customHeight="1">
      <c r="A25" s="18"/>
      <c r="B25" s="22" t="s">
        <v>91</v>
      </c>
      <c r="C25" s="5"/>
      <c r="D25" s="59">
        <f>D28/D8</f>
        <v>8425.6138661531058</v>
      </c>
      <c r="E25" s="41"/>
      <c r="F25" s="184" t="s">
        <v>6</v>
      </c>
      <c r="G25" s="80"/>
      <c r="H25" s="187" t="s">
        <v>112</v>
      </c>
      <c r="I25" s="188"/>
      <c r="J25" s="187" t="s">
        <v>111</v>
      </c>
      <c r="K25" s="188"/>
      <c r="L25" s="21"/>
      <c r="M25" s="37">
        <v>1</v>
      </c>
    </row>
    <row r="26" spans="1:14" ht="18" customHeight="1">
      <c r="A26" s="18"/>
      <c r="B26" s="76"/>
      <c r="C26" s="76"/>
      <c r="D26" s="76"/>
      <c r="E26" s="19"/>
      <c r="F26" s="185"/>
      <c r="G26" s="81"/>
      <c r="H26" s="189"/>
      <c r="I26" s="190"/>
      <c r="J26" s="189"/>
      <c r="K26" s="190"/>
      <c r="L26" s="20"/>
      <c r="M26" s="142" t="s">
        <v>59</v>
      </c>
    </row>
    <row r="27" spans="1:14" ht="18" customHeight="1">
      <c r="A27" s="17"/>
      <c r="B27" s="163" t="s">
        <v>43</v>
      </c>
      <c r="C27" s="164"/>
      <c r="D27" s="165"/>
      <c r="E27" s="19"/>
      <c r="F27" s="185"/>
      <c r="G27" s="81"/>
      <c r="H27" s="189"/>
      <c r="I27" s="190"/>
      <c r="J27" s="189"/>
      <c r="K27" s="190"/>
      <c r="L27" s="20"/>
      <c r="M27" s="142" t="s">
        <v>54</v>
      </c>
    </row>
    <row r="28" spans="1:14" ht="18" customHeight="1">
      <c r="A28" s="17"/>
      <c r="B28" s="102" t="s">
        <v>64</v>
      </c>
      <c r="C28" s="103"/>
      <c r="D28" s="60">
        <v>350000</v>
      </c>
      <c r="E28" s="18"/>
      <c r="F28" s="185"/>
      <c r="G28" s="81"/>
      <c r="H28" s="189"/>
      <c r="I28" s="190"/>
      <c r="J28" s="189"/>
      <c r="K28" s="190"/>
      <c r="L28" s="20"/>
      <c r="M28" s="95">
        <f>IF(J6=M26,0,1)</f>
        <v>0</v>
      </c>
    </row>
    <row r="29" spans="1:14" ht="18" customHeight="1">
      <c r="A29" s="17"/>
      <c r="B29" s="118" t="s">
        <v>65</v>
      </c>
      <c r="C29" s="128"/>
      <c r="D29" s="60">
        <f>IF(M11=3,D28*3%,"nie dotyczy")</f>
        <v>10500</v>
      </c>
      <c r="E29" s="17"/>
      <c r="F29" s="186"/>
      <c r="G29" s="81"/>
      <c r="H29" s="191"/>
      <c r="I29" s="192"/>
      <c r="J29" s="191"/>
      <c r="K29" s="192"/>
      <c r="L29" s="20"/>
      <c r="M29" s="143" t="s">
        <v>71</v>
      </c>
    </row>
    <row r="30" spans="1:14" ht="18" customHeight="1">
      <c r="A30" s="17"/>
      <c r="B30" s="144" t="s">
        <v>25</v>
      </c>
      <c r="C30" s="25"/>
      <c r="D30" s="59">
        <f>IF(M21=2, 0, D28*2%)</f>
        <v>7000</v>
      </c>
      <c r="E30" s="18"/>
      <c r="F30" s="52" t="s">
        <v>45</v>
      </c>
      <c r="G30" s="45"/>
      <c r="H30" s="70">
        <v>0</v>
      </c>
      <c r="I30" s="86" t="str">
        <f>IF(H30=1,"tydzień",IF(AND(H30&lt;5,H30&gt;1),"tygodnie",IF(H30&gt;6,"WTF!?!","tygodni")))</f>
        <v>tygodni</v>
      </c>
      <c r="J30" s="70">
        <v>2</v>
      </c>
      <c r="K30" s="86" t="str">
        <f>IF(J30=1,"tydzień",IF(AND(J30&lt;5,J30&gt;1),"tygodnie",IF(J30&gt;6,"WTF!?!","tygodni")))</f>
        <v>tygodnie</v>
      </c>
      <c r="L30" s="21"/>
      <c r="M30" s="143" t="s">
        <v>38</v>
      </c>
    </row>
    <row r="31" spans="1:14" ht="18" customHeight="1">
      <c r="A31" s="17"/>
      <c r="B31" s="49" t="s">
        <v>41</v>
      </c>
      <c r="C31" s="25"/>
      <c r="D31" s="51">
        <f>(1010+((D28-60000)*0.004))/2*1.23+IF(M11=1, 200+246+60, 200+246)+300</f>
        <v>2080.5500000000002</v>
      </c>
      <c r="E31" s="18"/>
      <c r="F31" s="69"/>
      <c r="G31" s="69"/>
      <c r="H31" s="69"/>
      <c r="I31" s="69"/>
      <c r="J31" s="69"/>
      <c r="K31" s="69"/>
      <c r="L31" s="21"/>
    </row>
    <row r="32" spans="1:14" ht="18" customHeight="1">
      <c r="A32" s="17"/>
      <c r="B32" s="36" t="s">
        <v>8</v>
      </c>
      <c r="C32" s="129"/>
      <c r="D32" s="51"/>
      <c r="E32" s="18"/>
      <c r="F32" s="171" t="s">
        <v>74</v>
      </c>
      <c r="G32" s="172"/>
      <c r="H32" s="194">
        <f>(H18+H20-H14-H24/12)*12/$D$36*100</f>
        <v>8.7883233998611168</v>
      </c>
      <c r="I32" s="195"/>
      <c r="J32" s="221">
        <f>(J18+J20-H14-H24/12)*12/$D$36*100</f>
        <v>8.7883233998611168</v>
      </c>
      <c r="K32" s="221"/>
      <c r="L32" s="21"/>
      <c r="M32" s="6" t="str">
        <f>IF(M11=3,M29,M30)</f>
        <v>własność</v>
      </c>
      <c r="N32" s="139" t="s">
        <v>96</v>
      </c>
    </row>
    <row r="33" spans="1:14" ht="18" customHeight="1">
      <c r="A33" s="17"/>
      <c r="B33" s="26" t="s">
        <v>4</v>
      </c>
      <c r="C33" s="25"/>
      <c r="D33" s="51"/>
      <c r="E33" s="18"/>
      <c r="F33" s="178" t="s">
        <v>78</v>
      </c>
      <c r="G33" s="178"/>
      <c r="H33" s="179">
        <f>((H18+H20)*(1-(H30/52))-H14-H24/12)*12/$D$36*100</f>
        <v>8.7883233998611168</v>
      </c>
      <c r="I33" s="180"/>
      <c r="J33" s="181">
        <f>((J18+J20)*(1-(J30/52))-H14-H24/12)*12/$D$36*100</f>
        <v>8.4091498518818515</v>
      </c>
      <c r="K33" s="181"/>
      <c r="L33" s="20"/>
      <c r="M33" s="6" t="str">
        <f>IF(M11&gt;1,M24,M22)</f>
        <v>nie dotyczy</v>
      </c>
      <c r="N33" s="139" t="s">
        <v>97</v>
      </c>
    </row>
    <row r="34" spans="1:14" ht="18" customHeight="1">
      <c r="A34" s="17"/>
      <c r="B34" s="26" t="s">
        <v>32</v>
      </c>
      <c r="C34" s="25"/>
      <c r="D34" s="51"/>
      <c r="E34" s="18"/>
      <c r="F34" s="169" t="s">
        <v>79</v>
      </c>
      <c r="G34" s="170"/>
      <c r="H34" s="199">
        <f>(H18+H20-H14-H24/12-H23)*12/$D$36*100</f>
        <v>7.2273922940131392</v>
      </c>
      <c r="I34" s="200"/>
      <c r="J34" s="179">
        <f>(J18+J20-H14-H24/12-J23)*12/$D$36*100</f>
        <v>7.2273922940131392</v>
      </c>
      <c r="K34" s="180"/>
      <c r="L34" s="21"/>
      <c r="M34" s="6">
        <f>IF(M7=3,1.5%, IF(M11=3,10%,2.5%))</f>
        <v>0.1</v>
      </c>
      <c r="N34" s="139" t="s">
        <v>98</v>
      </c>
    </row>
    <row r="35" spans="1:14" ht="18" customHeight="1">
      <c r="A35" s="18"/>
      <c r="B35" s="24" t="s">
        <v>13</v>
      </c>
      <c r="C35" s="25"/>
      <c r="D35" s="51"/>
      <c r="E35" s="18"/>
      <c r="F35" s="215" t="s">
        <v>82</v>
      </c>
      <c r="G35" s="216"/>
      <c r="H35" s="206">
        <f>((H18+H20)*(1-(H30/52))-H14-H24/12-H23*(1-(H30/52)))*12/$D$36*100</f>
        <v>7.2273922940131392</v>
      </c>
      <c r="I35" s="207"/>
      <c r="J35" s="208">
        <f>((J18+J20)*(1-(J30/52))-H14-H24/12-J23*(1-(J30/52)))*12/$D$36*100</f>
        <v>6.9082545577972567</v>
      </c>
      <c r="K35" s="209"/>
      <c r="L35" s="21"/>
      <c r="M35" s="6">
        <f>IF(G44=10%,19%,18%)</f>
        <v>0.19</v>
      </c>
      <c r="N35" s="139" t="s">
        <v>99</v>
      </c>
    </row>
    <row r="36" spans="1:14" ht="18" customHeight="1">
      <c r="A36" s="18"/>
      <c r="B36" s="102" t="s">
        <v>2</v>
      </c>
      <c r="C36" s="104"/>
      <c r="D36" s="134">
        <f>D28+SUM(D30:D35)</f>
        <v>359080.55</v>
      </c>
      <c r="E36" s="18"/>
      <c r="F36" s="76"/>
      <c r="G36" s="76"/>
      <c r="H36" s="76"/>
      <c r="I36" s="76"/>
      <c r="J36" s="76"/>
      <c r="K36" s="48"/>
      <c r="L36" s="21"/>
      <c r="M36" s="6" t="s">
        <v>75</v>
      </c>
    </row>
    <row r="37" spans="1:14" ht="18" customHeight="1">
      <c r="A37" s="18"/>
      <c r="B37" s="113" t="s">
        <v>46</v>
      </c>
      <c r="C37" s="114"/>
      <c r="D37" s="115">
        <f>D28+D33</f>
        <v>350000</v>
      </c>
      <c r="E37" s="19"/>
      <c r="F37" s="163" t="s">
        <v>47</v>
      </c>
      <c r="G37" s="164"/>
      <c r="H37" s="164"/>
      <c r="I37" s="164"/>
      <c r="J37" s="164"/>
      <c r="K37" s="165"/>
      <c r="L37" s="20"/>
      <c r="M37" s="139"/>
    </row>
    <row r="38" spans="1:14" ht="18" customHeight="1">
      <c r="A38" s="18"/>
      <c r="B38" s="116" t="s">
        <v>14</v>
      </c>
      <c r="C38" s="117"/>
      <c r="D38" s="60">
        <v>355000</v>
      </c>
      <c r="E38" s="19"/>
      <c r="F38" s="196" t="s">
        <v>81</v>
      </c>
      <c r="G38" s="197"/>
      <c r="H38" s="197"/>
      <c r="I38" s="197"/>
      <c r="J38" s="197"/>
      <c r="K38" s="198"/>
      <c r="L38" s="20"/>
    </row>
    <row r="39" spans="1:14" ht="18" customHeight="1">
      <c r="A39" s="18"/>
      <c r="B39" s="47"/>
      <c r="C39" s="47"/>
      <c r="D39" s="47"/>
      <c r="E39" s="19"/>
      <c r="F39" s="32" t="s">
        <v>21</v>
      </c>
      <c r="G39" s="43"/>
      <c r="H39" s="218">
        <f>(H18+H20)*0.085</f>
        <v>250.75000000000003</v>
      </c>
      <c r="I39" s="219"/>
      <c r="J39" s="220">
        <f>(J18+J20)*0.085</f>
        <v>250.75000000000003</v>
      </c>
      <c r="K39" s="220"/>
      <c r="L39" s="20"/>
    </row>
    <row r="40" spans="1:14" ht="18" customHeight="1">
      <c r="A40" s="18"/>
      <c r="B40" s="166" t="s">
        <v>50</v>
      </c>
      <c r="C40" s="166"/>
      <c r="D40" s="166"/>
      <c r="E40" s="19"/>
      <c r="F40" s="33" t="s">
        <v>22</v>
      </c>
      <c r="G40" s="44"/>
      <c r="H40" s="201">
        <f>(H18+H20-H39-H24/12)*(1-(H30/52))-$H$14-H23-$D$47</f>
        <v>716.51259927420506</v>
      </c>
      <c r="I40" s="202"/>
      <c r="J40" s="201">
        <f>(J18+J20-J39-H24/12)*(1-(J30/52))-$H$14-J23-$D$47</f>
        <v>613.33631722292284</v>
      </c>
      <c r="K40" s="202"/>
      <c r="L40" s="20"/>
    </row>
    <row r="41" spans="1:14" ht="18" customHeight="1">
      <c r="A41" s="35"/>
      <c r="B41" s="27" t="s">
        <v>15</v>
      </c>
      <c r="C41" s="61"/>
      <c r="D41" s="78">
        <v>30</v>
      </c>
      <c r="E41" s="19"/>
      <c r="F41" s="100" t="s">
        <v>20</v>
      </c>
      <c r="G41" s="85"/>
      <c r="H41" s="99">
        <f>IF(AND($D$49&lt;0,H40&gt;0),"∞",IF(AND($D$49&lt;0,H40&lt;0),"hmmm...",IF(H40&lt;0,"hmmm...",H40*12/$D$49)))</f>
        <v>0.13569125796730971</v>
      </c>
      <c r="I41" s="72" t="str">
        <f>IF(H41="∞","",IF(100%/H41*12&lt;48,"("&amp;INT(100%/H41*12)&amp;" mies.)","("&amp;MROUND(100%/H41,0.1)&amp;" lat)"))</f>
        <v>(7,4 lat)</v>
      </c>
      <c r="J41" s="99">
        <f>IF(AND($D$49&lt;0,J40&gt;0),"∞",IF(AND($D$49&lt;0,J40&lt;0),"hmmm...",IF(J40&lt;0,"hmmm...",J40*12/$D$49)))</f>
        <v>0.11615200699236534</v>
      </c>
      <c r="K41" s="72" t="str">
        <f>IF(J41="∞","",IF(100%/J41*12&lt;48,"("&amp;INT(100%/J41*12)&amp;" mies.)","("&amp;MROUND(100%/J41,0.1)&amp;" lat)"))</f>
        <v>(8,6 lat)</v>
      </c>
      <c r="L41" s="20"/>
    </row>
    <row r="42" spans="1:14" ht="18" customHeight="1">
      <c r="A42" s="18"/>
      <c r="B42" s="28" t="s">
        <v>16</v>
      </c>
      <c r="C42" s="62"/>
      <c r="D42" s="74">
        <v>2.3E-2</v>
      </c>
      <c r="E42" s="34"/>
      <c r="F42" s="84" t="s">
        <v>88</v>
      </c>
      <c r="G42" s="85"/>
      <c r="H42" s="148">
        <f>12*((H18+H20-H39-H24/12)*(1-(H30/52))-$H$14-H23-$D$47)</f>
        <v>8598.1511912904607</v>
      </c>
      <c r="I42" s="149"/>
      <c r="J42" s="148">
        <f>12*((J18+J20-J39-H24/12)*(1-(J30/52))-$H$14-J23-$D$47)</f>
        <v>7360.0358066750741</v>
      </c>
      <c r="K42" s="149"/>
      <c r="L42" s="20"/>
    </row>
    <row r="43" spans="1:14" ht="18" customHeight="1">
      <c r="A43" s="18"/>
      <c r="B43" s="28" t="s">
        <v>28</v>
      </c>
      <c r="C43" s="62"/>
      <c r="D43" s="74">
        <v>2.2000000000000001E-3</v>
      </c>
      <c r="E43" s="19"/>
      <c r="F43" s="152" t="s">
        <v>80</v>
      </c>
      <c r="G43" s="153"/>
      <c r="H43" s="153"/>
      <c r="I43" s="153"/>
      <c r="J43" s="153"/>
      <c r="K43" s="154"/>
      <c r="L43" s="20"/>
    </row>
    <row r="44" spans="1:14" ht="18" customHeight="1">
      <c r="A44" s="18"/>
      <c r="B44" s="28" t="s">
        <v>17</v>
      </c>
      <c r="C44" s="62"/>
      <c r="D44" s="135">
        <f>D42+D43</f>
        <v>2.52E-2</v>
      </c>
      <c r="E44" s="19"/>
      <c r="F44" s="31" t="s">
        <v>34</v>
      </c>
      <c r="G44" s="91">
        <f>IF(M7=3,1.5%, IF(M11=3,10%,2.5%))</f>
        <v>0.1</v>
      </c>
      <c r="H44" s="157">
        <f>IF(M11=3,($D$48-D34-D29)*$G$44/12,($D$48-D34)*$G$44/12)</f>
        <v>2955.1295833333334</v>
      </c>
      <c r="I44" s="158"/>
      <c r="J44" s="158"/>
      <c r="K44" s="159"/>
      <c r="L44" s="15"/>
    </row>
    <row r="45" spans="1:14" ht="18" customHeight="1">
      <c r="A45" s="18"/>
      <c r="B45" s="29" t="s">
        <v>31</v>
      </c>
      <c r="C45" s="63"/>
      <c r="D45" s="75">
        <f>D46*2%</f>
        <v>6035</v>
      </c>
      <c r="E45" s="19"/>
      <c r="F45" s="31" t="s">
        <v>33</v>
      </c>
      <c r="G45" s="92">
        <f>IF(G44=10%,19%,17%)</f>
        <v>0.19</v>
      </c>
      <c r="H45" s="157">
        <f>(H18+H20-H24/12-$H$14-H23-$M$18-$H$44)*$G$45</f>
        <v>-269.71790143660962</v>
      </c>
      <c r="I45" s="159"/>
      <c r="J45" s="157">
        <f>(J18+J20-H24/12-$H$14-J23-$M$18-$H$44)*$G$45</f>
        <v>-269.71790143660962</v>
      </c>
      <c r="K45" s="159"/>
      <c r="L45" s="15"/>
    </row>
    <row r="46" spans="1:14" ht="18" customHeight="1">
      <c r="A46" s="18"/>
      <c r="B46" s="30" t="s">
        <v>19</v>
      </c>
      <c r="C46" s="64"/>
      <c r="D46" s="77">
        <f>D38*85%</f>
        <v>301750</v>
      </c>
      <c r="E46" s="41"/>
      <c r="F46" s="83" t="s">
        <v>22</v>
      </c>
      <c r="G46" s="46"/>
      <c r="H46" s="155">
        <f>(H18+H20-H24/12)*(1-(H30/52))-$H$14-H23-$D$47-H45</f>
        <v>1236.9805007108148</v>
      </c>
      <c r="I46" s="156"/>
      <c r="J46" s="155">
        <f>(J18+J20-H24/12)*(1-(J30/52))-$H$14-J23-$D$47-J45</f>
        <v>1124.1599878903021</v>
      </c>
      <c r="K46" s="156"/>
      <c r="L46" s="34"/>
      <c r="M46" s="6" t="s">
        <v>75</v>
      </c>
    </row>
    <row r="47" spans="1:14" ht="18" customHeight="1">
      <c r="A47" s="18"/>
      <c r="B47" s="119" t="s">
        <v>5</v>
      </c>
      <c r="C47" s="120"/>
      <c r="D47" s="136">
        <f>ABS(PMT(D44/12,D41*12,D46))</f>
        <v>1195.4174007257948</v>
      </c>
      <c r="E47" s="41"/>
      <c r="F47" s="83" t="s">
        <v>20</v>
      </c>
      <c r="G47" s="45"/>
      <c r="H47" s="101">
        <f>IF(AND($D$49&lt;0,H46&gt;0),"∞",IF(AND($D$49&lt;0,H46&lt;0),"hmmm...",IF(H46&lt;0,"hmmm...",H46*12/$D$49)))</f>
        <v>0.23425609039185771</v>
      </c>
      <c r="I47" s="71" t="str">
        <f>IF(H47="∞","",IF(100%/H47*12&lt;48,"("&amp;INT(100%/H47*12)&amp;" mies.)","("&amp;MROUND(100%/H47,0.1)&amp;" lat)"))</f>
        <v>(4,3 lat)</v>
      </c>
      <c r="J47" s="101">
        <f>IF(AND($D$49&lt;0,J46&gt;0),"∞",IF(AND($D$49&lt;0,J46&lt;0),"hmmm...",IF(J46&lt;0,"hmmm...",J46*12/$D$49)))</f>
        <v>0.21289044054196055</v>
      </c>
      <c r="K47" s="71" t="str">
        <f>IF(J47="∞","",IF(100%/J47*12&lt;48,"("&amp;INT(100%/J47*12)&amp;" mies.)","("&amp;MROUND(100%/J47,0.1)&amp;" lat)"))</f>
        <v>(4,7 lat)</v>
      </c>
      <c r="L47" s="34"/>
    </row>
    <row r="48" spans="1:14" ht="18" customHeight="1">
      <c r="A48" s="53"/>
      <c r="B48" s="121" t="s">
        <v>18</v>
      </c>
      <c r="C48" s="122"/>
      <c r="D48" s="137">
        <f>D36+D45</f>
        <v>365115.55</v>
      </c>
      <c r="E48" s="48"/>
      <c r="F48" s="31" t="s">
        <v>89</v>
      </c>
      <c r="G48" s="45"/>
      <c r="H48" s="150">
        <f>(H18+H20-H24/12)*(1-(H30/52))-$H$14-H23-$D$47-IF(H45&lt;0,0,H45)</f>
        <v>967.26259927420506</v>
      </c>
      <c r="I48" s="151"/>
      <c r="J48" s="150">
        <f>(J18+J20-H24/12)*(1-(J30/52))-$H$14-J23-$D$47-IF(J45&lt;0,0,J45)</f>
        <v>854.44208645369235</v>
      </c>
      <c r="K48" s="151"/>
      <c r="L48" s="34"/>
    </row>
    <row r="49" spans="1:12" ht="18" customHeight="1">
      <c r="A49" s="35"/>
      <c r="B49" s="121" t="s">
        <v>27</v>
      </c>
      <c r="C49" s="122"/>
      <c r="D49" s="138">
        <f>D48-D46</f>
        <v>63365.549999999988</v>
      </c>
      <c r="E49" s="48"/>
      <c r="F49" s="31" t="s">
        <v>88</v>
      </c>
      <c r="G49" s="45"/>
      <c r="H49" s="150">
        <f>12*((H18+H20-H24/12)*(1-(H30/52))-$H$14-H23-$D$47-H45)+$D$34*$G$45</f>
        <v>14843.766008529778</v>
      </c>
      <c r="I49" s="151"/>
      <c r="J49" s="150">
        <f>12*((J18+J20-H24/12)*(1-(J30/52))-$H$14-J23-$D$47-J45)+$D$34*$G$45</f>
        <v>13489.919854683625</v>
      </c>
      <c r="K49" s="151"/>
      <c r="L49" s="34"/>
    </row>
    <row r="50" spans="1:12" ht="9" customHeight="1">
      <c r="A50" s="18"/>
      <c r="B50" s="47"/>
      <c r="C50" s="47"/>
      <c r="D50" s="47"/>
      <c r="E50" s="96"/>
      <c r="F50" s="125"/>
      <c r="G50" s="125"/>
      <c r="H50" s="125"/>
      <c r="I50" s="125"/>
      <c r="J50" s="125"/>
      <c r="K50" s="48"/>
      <c r="L50" s="34"/>
    </row>
    <row r="51" spans="1:12" ht="18" customHeight="1">
      <c r="A51" s="128"/>
      <c r="B51" s="210" t="s">
        <v>106</v>
      </c>
      <c r="C51" s="210"/>
      <c r="D51" s="210"/>
      <c r="E51" s="128"/>
      <c r="F51" s="128"/>
      <c r="G51" s="128"/>
      <c r="H51" s="147" t="s">
        <v>104</v>
      </c>
      <c r="I51" s="145"/>
      <c r="J51" s="145"/>
      <c r="K51" s="145"/>
      <c r="L51" s="146"/>
    </row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  <row r="62" spans="1:12" ht="15" hidden="1" customHeight="1"/>
  </sheetData>
  <sheetProtection algorithmName="SHA-512" hashValue="PkleksAc71ES0bkOXB7esxs9HZwh9FH/WE1NpTr3zGE00SQKlgrJvibYxo1fZ51L17y36GzrBG+9Q/aI4Jg9/w==" saltValue="ySFo1cwkPaMMXoGbFmbJRA==" spinCount="100000" sheet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K4:K5"/>
    <mergeCell ref="H14:K14"/>
    <mergeCell ref="F5:G5"/>
    <mergeCell ref="F6:G6"/>
    <mergeCell ref="F7:G7"/>
    <mergeCell ref="F8:G8"/>
    <mergeCell ref="I4:J5"/>
    <mergeCell ref="F9:G9"/>
    <mergeCell ref="B51:D51"/>
    <mergeCell ref="F10:G10"/>
    <mergeCell ref="J34:K34"/>
    <mergeCell ref="H21:I21"/>
    <mergeCell ref="H23:I23"/>
    <mergeCell ref="F35:G35"/>
    <mergeCell ref="J19:K19"/>
    <mergeCell ref="H20:I20"/>
    <mergeCell ref="J20:K20"/>
    <mergeCell ref="H22:I22"/>
    <mergeCell ref="J21:K21"/>
    <mergeCell ref="J22:K22"/>
    <mergeCell ref="H46:I46"/>
    <mergeCell ref="H39:I39"/>
    <mergeCell ref="J39:K39"/>
    <mergeCell ref="J32:K32"/>
    <mergeCell ref="B40:D40"/>
    <mergeCell ref="F25:F29"/>
    <mergeCell ref="H25:I29"/>
    <mergeCell ref="J25:K29"/>
    <mergeCell ref="H24:K24"/>
    <mergeCell ref="H32:I32"/>
    <mergeCell ref="F37:K37"/>
    <mergeCell ref="F38:K38"/>
    <mergeCell ref="H34:I34"/>
    <mergeCell ref="H40:I40"/>
    <mergeCell ref="B27:D27"/>
    <mergeCell ref="B17:B24"/>
    <mergeCell ref="D21:D24"/>
    <mergeCell ref="J40:K40"/>
    <mergeCell ref="H35:I35"/>
    <mergeCell ref="J35:K35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  <mergeCell ref="H42:I42"/>
    <mergeCell ref="J42:K42"/>
    <mergeCell ref="H49:I49"/>
    <mergeCell ref="J49:K49"/>
    <mergeCell ref="H48:I48"/>
    <mergeCell ref="J48:K48"/>
    <mergeCell ref="F43:K43"/>
    <mergeCell ref="J46:K46"/>
    <mergeCell ref="H44:K44"/>
    <mergeCell ref="H45:I45"/>
    <mergeCell ref="J45:K45"/>
  </mergeCells>
  <dataValidations count="15">
    <dataValidation type="decimal" allowBlank="1" showInputMessage="1" showErrorMessage="1" sqref="G44" xr:uid="{00000000-0002-0000-0000-000000000000}">
      <formula1>0</formula1>
      <formula2>0.1</formula2>
    </dataValidation>
    <dataValidation type="decimal" allowBlank="1" showInputMessage="1" showErrorMessage="1" error="podatek dochodowy musi się zawierać między 17% a 36%" sqref="G45" xr:uid="{00000000-0002-0000-0000-000001000000}">
      <formula1>0.17</formula1>
      <formula2>0.36</formula2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30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11:J13 J6:J9" xr:uid="{00000000-0002-0000-0000-00000C000000}">
      <formula1>$M$26:$M$27</formula1>
    </dataValidation>
    <dataValidation type="list" allowBlank="1" showInputMessage="1" showErrorMessage="1" prompt="wybierz odpowiednią opcję z listy" sqref="D16" xr:uid="{00000000-0002-0000-0000-00000E000000}">
      <formula1>$M$12:$M$15</formula1>
    </dataValidation>
    <dataValidation type="list" allowBlank="1" showInputMessage="1" showErrorMessage="1" prompt="wybierz odpowiednią opcję z listy" sqref="D9" xr:uid="{00000000-0002-0000-0000-00000D000000}">
      <formula1>$M$29:$M$30</formula1>
    </dataValidation>
  </dataValidations>
  <hyperlinks>
    <hyperlink ref="H51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G44 J19 D31 K20 I20 H20 J20 M28 M7 M21 J13 J7:J9 M11 J10:J11 J12 M18 D29 D9:D10" unlockedFormula="1"/>
    <ignoredError sqref="J22 K10 J41 J47" formula="1"/>
    <ignoredError sqref="I41 I47" evalError="1" formula="1"/>
    <ignoredError sqref="K41 K47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Analiza inwestycyjna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 Wójcik</cp:lastModifiedBy>
  <cp:lastPrinted>2017-01-19T16:40:16Z</cp:lastPrinted>
  <dcterms:created xsi:type="dcterms:W3CDTF">2012-03-06T10:48:18Z</dcterms:created>
  <dcterms:modified xsi:type="dcterms:W3CDTF">2021-09-10T11:11:55Z</dcterms:modified>
</cp:coreProperties>
</file>