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9BEBCFCA-B3EF-48FE-AA1F-0825D9DDF7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H5" i="1" l="1"/>
  <c r="J18" i="1" l="1"/>
  <c r="H18" i="1"/>
  <c r="I7" i="1" l="1"/>
  <c r="I8" i="1"/>
  <c r="H6" i="1"/>
  <c r="J8" i="1" l="1"/>
  <c r="D25" i="1"/>
  <c r="K30" i="1"/>
  <c r="I30" i="1"/>
  <c r="J13" i="1"/>
  <c r="J7" i="1"/>
  <c r="J9" i="1"/>
  <c r="J11" i="1"/>
  <c r="J12" i="1"/>
  <c r="D45" i="1" l="1"/>
  <c r="D44" i="1" s="1"/>
  <c r="H10" i="1" l="1"/>
  <c r="K10" i="1" s="1"/>
  <c r="K9" i="1"/>
  <c r="J22" i="1"/>
  <c r="K13" i="1"/>
  <c r="K6" i="1"/>
  <c r="K11" i="1"/>
  <c r="M11" i="1"/>
  <c r="K7" i="1"/>
  <c r="K8" i="1"/>
  <c r="K12" i="1"/>
  <c r="G23" i="1"/>
  <c r="H23" i="1" s="1"/>
  <c r="M28" i="1"/>
  <c r="H20" i="1" s="1"/>
  <c r="D36" i="1"/>
  <c r="M7" i="1"/>
  <c r="M21" i="1"/>
  <c r="D29" i="1" s="1"/>
  <c r="D43" i="1"/>
  <c r="H22" i="1"/>
  <c r="H21" i="1"/>
  <c r="H39" i="1" l="1"/>
  <c r="M34" i="1"/>
  <c r="J23" i="1"/>
  <c r="D10" i="1"/>
  <c r="M33" i="1"/>
  <c r="M32" i="1"/>
  <c r="D46" i="1"/>
  <c r="D30" i="1"/>
  <c r="D35" i="1" s="1"/>
  <c r="J21" i="1"/>
  <c r="M18" i="1"/>
  <c r="H14" i="1"/>
  <c r="J19" i="1"/>
  <c r="J20" i="1" s="1"/>
  <c r="H44" i="1" l="1"/>
  <c r="H48" i="1" s="1"/>
  <c r="H32" i="1"/>
  <c r="J39" i="1"/>
  <c r="J42" i="1" s="1"/>
  <c r="J44" i="1"/>
  <c r="J48" i="1" s="1"/>
  <c r="D47" i="1"/>
  <c r="H42" i="1"/>
  <c r="M35" i="1"/>
  <c r="H40" i="1"/>
  <c r="H35" i="1"/>
  <c r="J32" i="1"/>
  <c r="J33" i="1"/>
  <c r="J35" i="1"/>
  <c r="J34" i="1"/>
  <c r="H33" i="1"/>
  <c r="H34" i="1"/>
  <c r="H45" i="1" l="1"/>
  <c r="J40" i="1"/>
  <c r="J47" i="1"/>
  <c r="D48" i="1"/>
  <c r="H47" i="1" l="1"/>
  <c r="J41" i="1"/>
  <c r="K41" i="1" s="1"/>
  <c r="J45" i="1"/>
  <c r="J46" i="1" s="1"/>
  <c r="K46" i="1" s="1"/>
  <c r="H46" i="1"/>
  <c r="I46" i="1" s="1"/>
  <c r="H41" i="1"/>
  <c r="I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17% + 9% składki zdrowotnej.
Podatek liniowy - PIT 19% + 4,9% składki zdrowotnej.</t>
        </r>
      </text>
    </comment>
    <comment ref="B45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41A5DE08-E3E2-490E-96F4-2E7C08C94A21}">
      <text>
        <r>
          <rPr>
            <b/>
            <sz val="10"/>
            <color indexed="81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<sst xmlns="http://schemas.openxmlformats.org/spreadsheetml/2006/main" count="122" uniqueCount="112">
  <si>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</si>
  <si>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</si>
  <si>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</si>
  <si>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</si>
  <si>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</si>
  <si>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</si>
  <si>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</si>
  <si>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</si>
  <si>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</si>
  <si>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</si>
  <si>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</si>
  <si>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</si>
  <si>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</si>
  <si>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</si>
  <si>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</si>
  <si>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</si>
  <si>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</si>
  <si>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</si>
  <si>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</si>
  <si>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</si>
  <si>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</si>
  <si>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</si>
  <si>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</si>
  <si>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</si>
  <si>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</si>
  <si>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</si>
  <si>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</si>
  <si>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</si>
  <si>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</si>
  <si>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</si>
  <si>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</si>
  <si>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</si>
  <si>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</si>
  <si>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</si>
  <si>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</si>
  <si>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</si>
  <si>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</si>
  <si>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</si>
  <si>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</si>
  <si>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</si>
  <si>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</si>
  <si>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</si>
  <si>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</si>
  <si>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</si>
  <si>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</si>
  <si>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</si>
  <si>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</si>
  <si>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</si>
  <si>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</si>
  <si>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</si>
  <si>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</si>
  <si>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</si>
  <si>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</si>
  <si>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</si>
  <si>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</si>
  <si>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</si>
  <si>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</si>
  <si>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</si>
  <si>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</si>
  <si>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</si>
  <si>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</si>
  <si>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</si>
  <si>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</si>
  <si>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</si>
  <si>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</si>
  <si>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</si>
  <si>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</si>
  <si>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</si>
  <si>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</si>
  <si>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</si>
  <si>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</si>
  <si>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</si>
  <si>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</si>
  <si>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</si>
  <si>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</si>
  <si>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</si>
  <si>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</si>
  <si>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</si>
  <si>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</si>
  <si>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</si>
  <si>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</si>
  <si>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</si>
  <si>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</si>
  <si>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</si>
  <si>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</si>
  <si>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</si>
  <si>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</si>
  <si>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</si>
  <si>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</si>
  <si>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</si>
  <si>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</si>
  <si>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</si>
  <si>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</si>
  <si>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</si>
  <si>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</si>
  <si>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</si>
  <si>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</si>
  <si>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</si>
  <si>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(7.0)</t>
  </si>
  <si>
    <t>Szablon Analiza inwestycyjna mieszkania (v7.0) - Copyright © Edukacja Inwestowania w Nieruchomości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</si>
  <si>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</si>
  <si>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</si>
  <si>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</si>
  <si>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</si>
  <si>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</si>
  <si>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</si>
  <si>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Poznań, Toruńska 10/1</t>
  </si>
  <si>
    <t>1</t>
  </si>
  <si>
    <t>każda kawalerka posiada swoją łazienkę</t>
  </si>
  <si>
    <t>mieszkanie podzielone na 3 niezależne kawalerki</t>
  </si>
  <si>
    <t>w wersji pesymistycznej wynajem kawalerek w cenie 1800 zł, 1600 zł i 1500 zł + opłaty za media</t>
  </si>
  <si>
    <t>w wersji realistycznej szacujemy wynajem kawalerek w cenie 1800 zł, 1600 zł i 1500 zł + opłaty za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</si>
</sst>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8" fontId="0" fillId="6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7" borderId="3" xfId="0" applyFill="1" applyBorder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4" borderId="0" xfId="0" applyFill="1" applyProtection="1">
      <protection locked="0"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2" fontId="0" fillId="7" borderId="8" xfId="0" applyNumberFormat="1" applyFill="1" applyBorder="1" applyProtection="1"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3" fillId="2" borderId="9" xfId="3" applyFont="1" applyFill="1" applyBorder="1" applyAlignment="1" applyProtection="1">
      <alignment horizontal="right" vertical="center"/>
      <protection hidden="1"/>
    </xf>
    <xf numFmtId="0" fontId="3" fillId="2" borderId="1" xfId="3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10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0" fontId="7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3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ill="1" applyProtection="1">
      <protection locked="0"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7" borderId="0" xfId="0" applyFill="1" applyProtection="1">
      <protection hidden="1"/>
    </xf>
    <xf numFmtId="9" fontId="3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3" applyFont="1" applyFill="1" applyBorder="1" applyAlignment="1" applyProtection="1">
      <alignment horizontal="center" vertical="center"/>
      <protection hidden="1"/>
    </xf>
    <xf numFmtId="0" fontId="10" fillId="8" borderId="2" xfId="3" applyFont="1" applyFill="1" applyBorder="1" applyAlignment="1" applyProtection="1">
      <alignment horizontal="center" vertical="center"/>
      <protection hidden="1"/>
    </xf>
    <xf numFmtId="0" fontId="3" fillId="2" borderId="2" xfId="3" applyFont="1" applyFill="1" applyBorder="1" applyAlignment="1" applyProtection="1">
      <alignment horizontal="center" vertical="center" wrapText="1"/>
      <protection hidden="1"/>
    </xf>
    <xf numFmtId="0" fontId="10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3" fillId="2" borderId="3" xfId="3" applyFont="1" applyFill="1" applyBorder="1" applyAlignment="1" applyProtection="1">
      <alignment vertical="center" wrapText="1"/>
      <protection hidden="1"/>
    </xf>
    <xf numFmtId="166" fontId="3" fillId="0" borderId="2" xfId="3" applyNumberFormat="1" applyFont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3" applyNumberFormat="1" applyFont="1" applyBorder="1" applyAlignment="1" applyProtection="1">
      <alignment horizontal="left" vertical="center"/>
      <protection locked="0"/>
    </xf>
    <xf numFmtId="0" fontId="3" fillId="0" borderId="2" xfId="3" applyFont="1" applyBorder="1" applyAlignment="1" applyProtection="1">
      <alignment horizontal="left" vertical="center"/>
      <protection locked="0"/>
    </xf>
    <xf numFmtId="0" fontId="0" fillId="0" borderId="2" xfId="3" applyFont="1" applyBorder="1" applyAlignment="1" applyProtection="1">
      <alignment horizontal="left" vertical="center"/>
      <protection locked="0"/>
    </xf>
    <xf numFmtId="166" fontId="3" fillId="2" borderId="2" xfId="3" applyNumberFormat="1" applyFont="1" applyFill="1" applyBorder="1" applyAlignment="1" applyProtection="1">
      <alignment horizontal="left" vertical="center"/>
      <protection hidden="1"/>
    </xf>
    <xf numFmtId="166" fontId="10" fillId="0" borderId="2" xfId="3" applyNumberFormat="1" applyFont="1" applyBorder="1" applyAlignment="1" applyProtection="1">
      <alignment horizontal="left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10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3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protection hidden="1"/>
    </xf>
    <xf numFmtId="1" fontId="3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3" applyNumberFormat="1" applyFont="1" applyFill="1" applyBorder="1" applyAlignment="1" applyProtection="1">
      <alignment horizontal="left" vertical="center"/>
      <protection hidden="1"/>
    </xf>
    <xf numFmtId="1" fontId="7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Border="1" applyProtection="1">
      <protection hidden="1"/>
    </xf>
    <xf numFmtId="10" fontId="11" fillId="0" borderId="2" xfId="3" applyNumberFormat="1" applyFont="1" applyBorder="1" applyAlignment="1" applyProtection="1">
      <alignment horizontal="left" vertical="center"/>
      <protection locked="0"/>
    </xf>
    <xf numFmtId="166" fontId="11" fillId="0" borderId="2" xfId="3" applyNumberFormat="1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hidden="1"/>
    </xf>
    <xf numFmtId="166" fontId="12" fillId="0" borderId="2" xfId="3" applyNumberFormat="1" applyFont="1" applyBorder="1" applyAlignment="1" applyProtection="1">
      <alignment horizontal="left" vertical="center"/>
      <protection locked="0"/>
    </xf>
    <xf numFmtId="0" fontId="11" fillId="0" borderId="2" xfId="3" applyFont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horizontal="center" vertical="center"/>
      <protection hidden="1"/>
    </xf>
    <xf numFmtId="0" fontId="3" fillId="2" borderId="5" xfId="3" applyFont="1" applyFill="1" applyBorder="1" applyAlignment="1" applyProtection="1">
      <alignment vertical="center" wrapText="1"/>
      <protection hidden="1"/>
    </xf>
    <xf numFmtId="0" fontId="3" fillId="2" borderId="8" xfId="3" applyFont="1" applyFill="1" applyBorder="1" applyAlignment="1" applyProtection="1">
      <alignment vertical="center" wrapText="1"/>
      <protection hidden="1"/>
    </xf>
    <xf numFmtId="0" fontId="3" fillId="2" borderId="3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 wrapText="1"/>
      <protection hidden="1"/>
    </xf>
    <xf numFmtId="0" fontId="7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3" fillId="0" borderId="10" xfId="3" applyNumberFormat="1" applyFont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locked="0" hidden="1"/>
    </xf>
    <xf numFmtId="0" fontId="0" fillId="2" borderId="10" xfId="0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0" fillId="8" borderId="9" xfId="3" applyNumberFormat="1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 wrapText="1"/>
      <protection hidden="1"/>
    </xf>
    <xf numFmtId="165" fontId="10" fillId="2" borderId="9" xfId="3" applyNumberFormat="1" applyFont="1" applyFill="1" applyBorder="1" applyAlignment="1" applyProtection="1">
      <alignment horizontal="right" vertical="center"/>
      <protection hidden="1"/>
    </xf>
    <xf numFmtId="0" fontId="10" fillId="2" borderId="9" xfId="3" applyFont="1" applyFill="1" applyBorder="1" applyAlignment="1" applyProtection="1">
      <alignment horizontal="right" vertical="center"/>
      <protection hidden="1"/>
    </xf>
    <xf numFmtId="0" fontId="10" fillId="2" borderId="1" xfId="3" applyFont="1" applyFill="1" applyBorder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left" vertical="center"/>
      <protection hidden="1"/>
    </xf>
    <xf numFmtId="0" fontId="15" fillId="2" borderId="9" xfId="3" applyFont="1" applyFill="1" applyBorder="1" applyAlignment="1" applyProtection="1">
      <alignment vertical="center"/>
      <protection hidden="1"/>
    </xf>
    <xf numFmtId="0" fontId="15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3" fillId="8" borderId="1" xfId="5" applyNumberFormat="1" applyFont="1" applyFill="1" applyBorder="1" applyAlignment="1" applyProtection="1">
      <alignment horizontal="lef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3" fillId="8" borderId="1" xfId="3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>
      <alignment horizontal="left" wrapText="1"/>
    </xf>
    <xf numFmtId="0" fontId="6" fillId="8" borderId="9" xfId="3" applyFont="1" applyFill="1" applyBorder="1" applyAlignment="1" applyProtection="1">
      <alignment horizontal="right" vertical="center"/>
      <protection hidden="1"/>
    </xf>
    <xf numFmtId="0" fontId="3" fillId="8" borderId="1" xfId="3" applyFont="1" applyFill="1" applyBorder="1" applyAlignment="1" applyProtection="1">
      <alignment horizontal="left" vertical="center"/>
      <protection hidden="1"/>
    </xf>
    <xf numFmtId="164" fontId="13" fillId="8" borderId="9" xfId="3" applyNumberFormat="1" applyFont="1" applyFill="1" applyBorder="1" applyAlignment="1" applyProtection="1">
      <alignment horizontal="right" vertical="center"/>
      <protection hidden="1"/>
    </xf>
    <xf numFmtId="164" fontId="13" fillId="8" borderId="1" xfId="3" applyNumberFormat="1" applyFont="1" applyFill="1" applyBorder="1" applyAlignment="1" applyProtection="1">
      <alignment horizontal="center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0" fontId="3" fillId="8" borderId="9" xfId="3" applyFont="1" applyFill="1" applyBorder="1" applyAlignment="1" applyProtection="1">
      <alignment horizontal="right" vertical="center" wrapText="1"/>
      <protection hidden="1"/>
    </xf>
    <xf numFmtId="0" fontId="10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/>
      <protection hidden="1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0" fontId="10" fillId="8" borderId="1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166" fontId="3" fillId="8" borderId="10" xfId="3" applyNumberFormat="1" applyFont="1" applyFill="1" applyBorder="1" applyAlignment="1">
      <alignment vertical="center"/>
    </xf>
    <xf numFmtId="166" fontId="10" fillId="2" borderId="2" xfId="3" applyNumberFormat="1" applyFont="1" applyFill="1" applyBorder="1" applyAlignment="1">
      <alignment horizontal="left" vertical="center"/>
    </xf>
    <xf numFmtId="10" fontId="17" fillId="2" borderId="2" xfId="3" applyNumberFormat="1" applyFont="1" applyFill="1" applyBorder="1" applyAlignment="1">
      <alignment horizontal="left" vertical="center"/>
    </xf>
    <xf numFmtId="166" fontId="7" fillId="8" borderId="2" xfId="3" applyNumberFormat="1" applyFont="1" applyFill="1" applyBorder="1" applyAlignment="1">
      <alignment horizontal="left" vertical="center"/>
    </xf>
    <xf numFmtId="166" fontId="8" fillId="8" borderId="2" xfId="3" applyNumberFormat="1" applyFont="1" applyFill="1" applyBorder="1" applyAlignment="1">
      <alignment horizontal="left" vertical="center"/>
    </xf>
    <xf numFmtId="166" fontId="14" fillId="8" borderId="2" xfId="3" applyNumberFormat="1" applyFont="1" applyFill="1" applyBorder="1" applyAlignment="1">
      <alignment horizontal="left" vertical="center"/>
    </xf>
    <xf numFmtId="0" fontId="0" fillId="12" borderId="2" xfId="0" applyFill="1" applyBorder="1" applyAlignment="1" applyProtection="1">
      <alignment horizontal="left" vertical="center"/>
      <protection locked="0" hidden="1"/>
    </xf>
    <xf numFmtId="0" fontId="0" fillId="12" borderId="2" xfId="0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3" fillId="12" borderId="9" xfId="3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166" fontId="3" fillId="8" borderId="2" xfId="3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Protection="1">
      <protection locked="0" hidden="1"/>
    </xf>
    <xf numFmtId="165" fontId="0" fillId="12" borderId="10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 hidden="1"/>
    </xf>
    <xf numFmtId="9" fontId="0" fillId="12" borderId="10" xfId="3" applyNumberFormat="1" applyFont="1" applyFill="1" applyBorder="1" applyAlignment="1" applyProtection="1">
      <alignment horizontal="center" vertical="center"/>
      <protection locked="0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0" fontId="15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3" applyFont="1" applyFill="1" applyBorder="1" applyAlignment="1" applyProtection="1">
      <alignment horizontal="right" vertical="center"/>
      <protection hidden="1"/>
    </xf>
    <xf numFmtId="0" fontId="15" fillId="10" borderId="1" xfId="3" applyFont="1" applyFill="1" applyBorder="1" applyAlignment="1" applyProtection="1">
      <alignment horizontal="right" vertical="center"/>
      <protection hidden="1"/>
    </xf>
    <xf numFmtId="0" fontId="12" fillId="2" borderId="10" xfId="3" applyFont="1" applyFill="1" applyBorder="1" applyAlignment="1" applyProtection="1">
      <alignment horizontal="center" vertical="center"/>
      <protection hidden="1"/>
    </xf>
    <xf numFmtId="166" fontId="10" fillId="0" borderId="9" xfId="3" applyNumberFormat="1" applyFont="1" applyBorder="1" applyAlignment="1" applyProtection="1">
      <alignment horizontal="center" vertical="center"/>
      <protection locked="0"/>
    </xf>
    <xf numFmtId="166" fontId="10" fillId="0" borderId="2" xfId="3" applyNumberFormat="1" applyFont="1" applyBorder="1" applyAlignment="1" applyProtection="1">
      <alignment horizontal="center" vertical="center"/>
      <protection locked="0"/>
    </xf>
    <xf numFmtId="166" fontId="10" fillId="0" borderId="10" xfId="3" applyNumberFormat="1" applyFont="1" applyBorder="1" applyAlignment="1" applyProtection="1">
      <alignment horizontal="center" vertical="center"/>
      <protection locked="0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2" xfId="3" applyNumberFormat="1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9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center" vertical="center"/>
    </xf>
    <xf numFmtId="166" fontId="3" fillId="8" borderId="9" xfId="3" applyNumberFormat="1" applyFont="1" applyFill="1" applyBorder="1" applyAlignment="1">
      <alignment horizontal="center" vertical="center"/>
    </xf>
    <xf numFmtId="166" fontId="3" fillId="8" borderId="2" xfId="3" applyNumberFormat="1" applyFont="1" applyFill="1" applyBorder="1" applyAlignment="1">
      <alignment horizontal="center" vertical="center"/>
    </xf>
    <xf numFmtId="2" fontId="13" fillId="2" borderId="4" xfId="0" applyNumberFormat="1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166" fontId="9" fillId="8" borderId="9" xfId="3" applyNumberFormat="1" applyFont="1" applyFill="1" applyBorder="1" applyAlignment="1">
      <alignment horizontal="center" vertical="center"/>
    </xf>
    <xf numFmtId="166" fontId="9" fillId="8" borderId="2" xfId="3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1" xfId="0" applyFill="1" applyBorder="1" applyAlignment="1" applyProtection="1">
      <alignment horizontal="right" vertical="center" wrapText="1"/>
      <protection hidden="1"/>
    </xf>
    <xf numFmtId="2" fontId="14" fillId="8" borderId="4" xfId="0" applyNumberFormat="1" applyFont="1" applyFill="1" applyBorder="1" applyAlignment="1">
      <alignment horizontal="center" vertical="center"/>
    </xf>
    <xf numFmtId="2" fontId="14" fillId="8" borderId="5" xfId="0" applyNumberFormat="1" applyFont="1" applyFill="1" applyBorder="1" applyAlignment="1">
      <alignment horizontal="center" vertical="center"/>
    </xf>
    <xf numFmtId="2" fontId="14" fillId="8" borderId="9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166" fontId="3" fillId="2" borderId="9" xfId="3" applyNumberFormat="1" applyFont="1" applyFill="1" applyBorder="1" applyAlignment="1">
      <alignment horizontal="center" vertical="center"/>
    </xf>
    <xf numFmtId="166" fontId="3" fillId="2" borderId="2" xfId="3" applyNumberFormat="1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166" fontId="3" fillId="2" borderId="10" xfId="3" applyNumberFormat="1" applyFont="1" applyFill="1" applyBorder="1" applyAlignment="1">
      <alignment horizontal="center" vertical="center"/>
    </xf>
    <xf numFmtId="2" fontId="15" fillId="10" borderId="10" xfId="5" applyNumberFormat="1" applyFont="1" applyFill="1" applyBorder="1" applyAlignment="1" applyProtection="1">
      <alignment horizontal="center" vertical="center"/>
    </xf>
    <xf numFmtId="0" fontId="3" fillId="2" borderId="4" xfId="3" applyFont="1" applyFill="1" applyBorder="1" applyAlignment="1" applyProtection="1">
      <alignment horizontal="right" vertical="center" wrapText="1"/>
      <protection hidden="1"/>
    </xf>
    <xf numFmtId="0" fontId="3" fillId="2" borderId="7" xfId="3" applyFont="1" applyFill="1" applyBorder="1" applyAlignment="1" applyProtection="1">
      <alignment horizontal="right" vertical="center" wrapText="1"/>
      <protection hidden="1"/>
    </xf>
    <xf numFmtId="0" fontId="3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Border="1" applyAlignment="1" applyProtection="1">
      <alignment horizontal="center" vertical="center" wrapText="1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2" fontId="15" fillId="10" borderId="9" xfId="5" applyNumberFormat="1" applyFont="1" applyFill="1" applyBorder="1" applyAlignment="1" applyProtection="1">
      <alignment horizontal="center" vertical="center"/>
    </xf>
    <xf numFmtId="2" fontId="15" fillId="10" borderId="2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  <xf numFmtId="166" fontId="3" fillId="7" borderId="9" xfId="3" applyNumberFormat="1" applyFont="1" applyFill="1" applyBorder="1" applyAlignment="1">
      <alignment horizontal="center" vertical="center"/>
    </xf>
    <xf numFmtId="166" fontId="3" fillId="7" borderId="1" xfId="3" applyNumberFormat="1" applyFont="1" applyFill="1" applyBorder="1" applyAlignment="1">
      <alignment horizontal="center" vertical="center"/>
    </xf>
    <xf numFmtId="0" fontId="23" fillId="8" borderId="1" xfId="1" applyFont="1" applyFill="1" applyBorder="1" applyAlignment="1" applyProtection="1">
      <alignment horizontal="center" vertical="center"/>
    </xf>
    <xf numFmtId="0" fontId="12" fillId="8" borderId="9" xfId="3" applyFont="1" applyFill="1" applyBorder="1" applyAlignment="1" applyProtection="1">
      <alignment horizontal="right" vertical="center"/>
      <protection hidden="1"/>
    </xf>
    <xf numFmtId="0" fontId="12" fillId="8" borderId="1" xfId="3" applyFont="1" applyFill="1" applyBorder="1" applyAlignment="1" applyProtection="1">
      <alignment horizontal="right" vertical="center"/>
      <protection hidden="1"/>
    </xf>
    <xf numFmtId="166" fontId="7" fillId="2" borderId="9" xfId="3" applyNumberFormat="1" applyFont="1" applyFill="1" applyBorder="1" applyAlignment="1">
      <alignment horizontal="center" vertical="center"/>
    </xf>
    <xf numFmtId="166" fontId="7" fillId="2" borderId="2" xfId="3" applyNumberFormat="1" applyFont="1" applyFill="1" applyBorder="1" applyAlignment="1">
      <alignment horizontal="center" vertical="center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166" fontId="9" fillId="2" borderId="9" xfId="3" applyNumberFormat="1" applyFont="1" applyFill="1" applyBorder="1" applyAlignment="1">
      <alignment horizontal="center" vertical="center"/>
    </xf>
    <xf numFmtId="166" fontId="9" fillId="2" borderId="2" xfId="3" applyNumberFormat="1" applyFont="1" applyFill="1" applyBorder="1" applyAlignment="1">
      <alignment horizontal="center" vertical="center"/>
    </xf>
    <xf numFmtId="166" fontId="13" fillId="8" borderId="9" xfId="3" applyNumberFormat="1" applyFont="1" applyFill="1" applyBorder="1" applyAlignment="1">
      <alignment horizontal="center" vertical="center"/>
    </xf>
    <xf numFmtId="166" fontId="13" fillId="8" borderId="2" xfId="3" applyNumberFormat="1" applyFont="1" applyFill="1" applyBorder="1" applyAlignment="1">
      <alignment horizontal="center" vertical="center"/>
    </xf>
    <xf numFmtId="166" fontId="13" fillId="8" borderId="10" xfId="3" applyNumberFormat="1" applyFont="1" applyFill="1" applyBorder="1" applyAlignment="1">
      <alignment horizontal="center" vertical="center"/>
    </xf>
    <xf numFmtId="166" fontId="7" fillId="8" borderId="9" xfId="3" applyNumberFormat="1" applyFont="1" applyFill="1" applyBorder="1" applyAlignment="1">
      <alignment horizontal="center" vertical="center"/>
    </xf>
    <xf numFmtId="166" fontId="7" fillId="8" borderId="2" xfId="3" applyNumberFormat="1" applyFont="1" applyFill="1" applyBorder="1" applyAlignment="1">
      <alignment horizontal="center" vertical="center"/>
    </xf>
    <xf numFmtId="0" fontId="12" fillId="2" borderId="9" xfId="3" applyFont="1" applyFill="1" applyBorder="1" applyAlignment="1" applyProtection="1">
      <alignment horizontal="center" vertical="center"/>
      <protection hidden="1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0" fontId="12" fillId="2" borderId="2" xfId="3" applyFont="1" applyFill="1" applyBorder="1" applyAlignment="1" applyProtection="1">
      <alignment horizontal="center" vertical="center"/>
      <protection hidden="1"/>
    </xf>
    <xf numFmtId="166" fontId="13" fillId="2" borderId="9" xfId="3" applyNumberFormat="1" applyFont="1" applyFill="1" applyBorder="1" applyAlignment="1">
      <alignment horizontal="center" vertical="center"/>
    </xf>
    <xf numFmtId="166" fontId="13" fillId="2" borderId="2" xfId="3" applyNumberFormat="1" applyFont="1" applyFill="1" applyBorder="1" applyAlignment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zoomScaleNormal="100" workbookViewId="0">
      <selection activeCell="H6" sqref="H6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2" customWidth="1"/>
    <col min="13" max="13" width="37.6640625" style="6" hidden="1"/>
    <col min="14" max="16383" width="9.109375" style="1" hidden="1"/>
    <col min="16384" max="16384" width="10.77734375" style="1" hidden="1"/>
  </cols>
  <sheetData>
    <row r="1" spans="1:13" ht="25.8">
      <c r="A1" s="146" t="s">
        <v>98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8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49" t="s">
        <v>41</v>
      </c>
      <c r="C3" s="150"/>
      <c r="D3" s="151"/>
      <c r="E3" s="41"/>
      <c r="F3" s="152" t="s">
        <v>67</v>
      </c>
      <c r="G3" s="152"/>
      <c r="H3" s="152"/>
      <c r="I3" s="152"/>
      <c r="J3" s="152"/>
      <c r="K3" s="152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4" t="s">
        <v>106</v>
      </c>
      <c r="E4" s="41"/>
      <c r="F4" s="53"/>
      <c r="G4" s="81"/>
      <c r="H4" s="93" t="s">
        <v>71</v>
      </c>
      <c r="I4" s="206" t="s">
        <v>72</v>
      </c>
      <c r="J4" s="207"/>
      <c r="K4" s="200" t="s">
        <v>48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7" t="s">
        <v>23</v>
      </c>
      <c r="E5" s="41"/>
      <c r="F5" s="202" t="s">
        <v>88</v>
      </c>
      <c r="G5" s="203"/>
      <c r="H5" s="91">
        <f>739.18-109.03</f>
        <v>630.15</v>
      </c>
      <c r="I5" s="208"/>
      <c r="J5" s="209"/>
      <c r="K5" s="200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5" t="s">
        <v>107</v>
      </c>
      <c r="E6" s="41"/>
      <c r="F6" s="204" t="s">
        <v>52</v>
      </c>
      <c r="G6" s="205"/>
      <c r="H6" s="91">
        <f>37.26+60</f>
        <v>97.259999999999991</v>
      </c>
      <c r="I6" s="122">
        <v>150</v>
      </c>
      <c r="J6" s="90" t="s">
        <v>55</v>
      </c>
      <c r="K6" s="125">
        <f t="shared" ref="K6:K13" si="0">IF(J6=$M$26,0,I6)</f>
        <v>0</v>
      </c>
      <c r="L6" s="21"/>
      <c r="M6" s="11" t="s">
        <v>12</v>
      </c>
    </row>
    <row r="7" spans="1:13" ht="18" customHeight="1">
      <c r="A7" s="17"/>
      <c r="B7" s="49" t="s">
        <v>61</v>
      </c>
      <c r="C7" s="25"/>
      <c r="D7" s="87" t="s">
        <v>29</v>
      </c>
      <c r="E7" s="41"/>
      <c r="F7" s="204" t="s">
        <v>53</v>
      </c>
      <c r="G7" s="205"/>
      <c r="H7" s="91">
        <v>302.26</v>
      </c>
      <c r="I7" s="122">
        <f>H7</f>
        <v>302.26</v>
      </c>
      <c r="J7" s="90" t="str">
        <f>J6</f>
        <v>płacą najemcy</v>
      </c>
      <c r="K7" s="125">
        <f t="shared" si="0"/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4">
        <v>57.03</v>
      </c>
      <c r="E8" s="41"/>
      <c r="F8" s="204" t="s">
        <v>54</v>
      </c>
      <c r="G8" s="205"/>
      <c r="H8" s="91">
        <v>25</v>
      </c>
      <c r="I8" s="122">
        <f>25*D15</f>
        <v>100</v>
      </c>
      <c r="J8" s="90" t="str">
        <f>J6</f>
        <v>płacą najemcy</v>
      </c>
      <c r="K8" s="125">
        <f t="shared" si="0"/>
        <v>0</v>
      </c>
      <c r="L8" s="21"/>
      <c r="M8" s="16" t="s">
        <v>9</v>
      </c>
    </row>
    <row r="9" spans="1:13" ht="18" customHeight="1">
      <c r="A9" s="17"/>
      <c r="B9" s="53" t="s">
        <v>62</v>
      </c>
      <c r="C9" s="78"/>
      <c r="D9" s="131" t="s">
        <v>66</v>
      </c>
      <c r="E9" s="41"/>
      <c r="F9" s="204" t="s">
        <v>83</v>
      </c>
      <c r="G9" s="205"/>
      <c r="H9" s="91"/>
      <c r="I9" s="122">
        <v>0</v>
      </c>
      <c r="J9" s="90" t="str">
        <f>J6</f>
        <v>płacą najemcy</v>
      </c>
      <c r="K9" s="125">
        <f t="shared" si="0"/>
        <v>0</v>
      </c>
      <c r="L9" s="21"/>
      <c r="M9" s="16" t="s">
        <v>10</v>
      </c>
    </row>
    <row r="10" spans="1:13" ht="18" customHeight="1">
      <c r="A10" s="17"/>
      <c r="B10" s="53" t="s">
        <v>63</v>
      </c>
      <c r="C10" s="88"/>
      <c r="D10" s="132" t="str">
        <f>IF(M11&gt;1,M24,M22)</f>
        <v>nie dotyczy</v>
      </c>
      <c r="E10" s="41"/>
      <c r="F10" s="204" t="s">
        <v>79</v>
      </c>
      <c r="G10" s="205"/>
      <c r="H10" s="210">
        <f>H5-SUM(H6:H9)</f>
        <v>205.63</v>
      </c>
      <c r="I10" s="211"/>
      <c r="J10" s="94" t="s">
        <v>55</v>
      </c>
      <c r="K10" s="125">
        <f>IF(J10=$M$26,0,H10)</f>
        <v>0</v>
      </c>
      <c r="L10" s="21"/>
      <c r="M10" s="16" t="s">
        <v>29</v>
      </c>
    </row>
    <row r="11" spans="1:13" ht="18" customHeight="1">
      <c r="A11" s="17"/>
      <c r="B11" s="49" t="s">
        <v>93</v>
      </c>
      <c r="C11" s="25"/>
      <c r="D11" s="56">
        <v>2</v>
      </c>
      <c r="E11" s="41"/>
      <c r="F11" s="103" t="s">
        <v>80</v>
      </c>
      <c r="G11" s="107"/>
      <c r="H11" s="91"/>
      <c r="I11" s="121">
        <v>0</v>
      </c>
      <c r="J11" s="94" t="str">
        <f>J6</f>
        <v>płacą najemcy</v>
      </c>
      <c r="K11" s="125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94</v>
      </c>
      <c r="C12" s="25"/>
      <c r="D12" s="57"/>
      <c r="E12" s="41"/>
      <c r="F12" s="103" t="s">
        <v>51</v>
      </c>
      <c r="G12" s="108"/>
      <c r="H12" s="91"/>
      <c r="I12" s="121">
        <v>150</v>
      </c>
      <c r="J12" s="94" t="str">
        <f>J6</f>
        <v>płacą najemcy</v>
      </c>
      <c r="K12" s="125">
        <f t="shared" si="0"/>
        <v>0</v>
      </c>
      <c r="L12" s="21"/>
      <c r="M12" s="8" t="s">
        <v>11</v>
      </c>
    </row>
    <row r="13" spans="1:13" ht="18" customHeight="1">
      <c r="A13" s="17"/>
      <c r="B13" s="64" t="s">
        <v>38</v>
      </c>
      <c r="C13" s="65"/>
      <c r="D13" s="56">
        <v>3</v>
      </c>
      <c r="E13" s="41"/>
      <c r="F13" s="103" t="s">
        <v>43</v>
      </c>
      <c r="G13" s="108"/>
      <c r="H13" s="91"/>
      <c r="I13" s="121">
        <v>109.03</v>
      </c>
      <c r="J13" s="94" t="str">
        <f>J6</f>
        <v>płacą najemcy</v>
      </c>
      <c r="K13" s="125">
        <f t="shared" si="0"/>
        <v>0</v>
      </c>
      <c r="L13" s="21"/>
      <c r="M13" s="8" t="s">
        <v>77</v>
      </c>
    </row>
    <row r="14" spans="1:13" ht="18" customHeight="1">
      <c r="A14" s="17"/>
      <c r="B14" s="64" t="s">
        <v>39</v>
      </c>
      <c r="C14" s="65"/>
      <c r="D14" s="57"/>
      <c r="E14" s="41"/>
      <c r="F14" s="105" t="s">
        <v>49</v>
      </c>
      <c r="G14" s="106"/>
      <c r="H14" s="201">
        <f>SUM(K6:K13)</f>
        <v>0</v>
      </c>
      <c r="I14" s="201"/>
      <c r="J14" s="201"/>
      <c r="K14" s="201"/>
      <c r="L14" s="21"/>
      <c r="M14" s="8" t="s">
        <v>78</v>
      </c>
    </row>
    <row r="15" spans="1:13" ht="18" customHeight="1">
      <c r="A15" s="17"/>
      <c r="B15" s="64" t="s">
        <v>58</v>
      </c>
      <c r="C15" s="65"/>
      <c r="D15" s="57">
        <v>4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57" t="s">
        <v>108</v>
      </c>
      <c r="E16" s="41"/>
      <c r="F16" s="149" t="s">
        <v>68</v>
      </c>
      <c r="G16" s="150"/>
      <c r="H16" s="150"/>
      <c r="I16" s="150"/>
      <c r="J16" s="150"/>
      <c r="K16" s="151"/>
      <c r="L16" s="34"/>
      <c r="M16" s="8">
        <v>1</v>
      </c>
    </row>
    <row r="17" spans="1:14" ht="18" customHeight="1">
      <c r="A17" s="17"/>
      <c r="B17" s="175" t="s">
        <v>26</v>
      </c>
      <c r="C17" s="38"/>
      <c r="D17" s="89" t="s">
        <v>95</v>
      </c>
      <c r="E17" s="41"/>
      <c r="F17" s="101"/>
      <c r="G17" s="102"/>
      <c r="H17" s="159" t="s">
        <v>101</v>
      </c>
      <c r="I17" s="159"/>
      <c r="J17" s="159" t="s">
        <v>100</v>
      </c>
      <c r="K17" s="159"/>
      <c r="L17" s="21"/>
      <c r="M17" s="9" t="s">
        <v>81</v>
      </c>
    </row>
    <row r="18" spans="1:14" ht="18" customHeight="1">
      <c r="A18" s="17"/>
      <c r="B18" s="176"/>
      <c r="C18" s="39"/>
      <c r="D18" s="153"/>
      <c r="E18" s="18"/>
      <c r="F18" s="82" t="s">
        <v>56</v>
      </c>
      <c r="G18" s="67"/>
      <c r="H18" s="160">
        <f>1800+1600+1500</f>
        <v>4900</v>
      </c>
      <c r="I18" s="161"/>
      <c r="J18" s="162">
        <f>H18</f>
        <v>4900</v>
      </c>
      <c r="K18" s="162"/>
      <c r="L18" s="21"/>
      <c r="M18" s="10">
        <f>ABS(IPMT(D43/12,1,D40*12,D45)+IPMT(D43/12,12,D40*12,D45))/2</f>
        <v>1852.4984853882793</v>
      </c>
    </row>
    <row r="19" spans="1:14" ht="18" customHeight="1">
      <c r="A19" s="17"/>
      <c r="B19" s="176"/>
      <c r="C19" s="39"/>
      <c r="D19" s="154"/>
      <c r="E19" s="18"/>
      <c r="F19" s="118" t="s">
        <v>59</v>
      </c>
      <c r="G19" s="119"/>
      <c r="H19" s="163">
        <v>0</v>
      </c>
      <c r="I19" s="164"/>
      <c r="J19" s="163">
        <f>H19</f>
        <v>0</v>
      </c>
      <c r="K19" s="164"/>
      <c r="L19" s="86"/>
      <c r="M19" s="11" t="s">
        <v>25</v>
      </c>
    </row>
    <row r="20" spans="1:14" ht="18" customHeight="1">
      <c r="A20" s="18"/>
      <c r="B20" s="176"/>
      <c r="C20" s="39"/>
      <c r="D20" s="66" t="s">
        <v>96</v>
      </c>
      <c r="E20" s="18"/>
      <c r="F20" s="83" t="s">
        <v>57</v>
      </c>
      <c r="G20" s="119"/>
      <c r="H20" s="169">
        <f>H19*$D$15</f>
        <v>0</v>
      </c>
      <c r="I20" s="170"/>
      <c r="J20" s="169">
        <f>J19*$D$15</f>
        <v>0</v>
      </c>
      <c r="K20" s="170"/>
      <c r="L20" s="21"/>
      <c r="M20" s="11" t="s">
        <v>24</v>
      </c>
    </row>
    <row r="21" spans="1:14" ht="18" customHeight="1">
      <c r="A21" s="18"/>
      <c r="B21" s="176"/>
      <c r="C21" s="39"/>
      <c r="D21" s="153" t="s">
        <v>109</v>
      </c>
      <c r="E21" s="18"/>
      <c r="F21" s="52" t="s">
        <v>86</v>
      </c>
      <c r="G21" s="42">
        <v>0.16</v>
      </c>
      <c r="H21" s="182">
        <f>H18*G21</f>
        <v>784</v>
      </c>
      <c r="I21" s="183"/>
      <c r="J21" s="186">
        <f>J18*G21</f>
        <v>784</v>
      </c>
      <c r="K21" s="186"/>
      <c r="L21" s="21"/>
      <c r="M21" s="11">
        <f>IF(B29=M19,1,2)</f>
        <v>1</v>
      </c>
    </row>
    <row r="22" spans="1:14" ht="18" customHeight="1">
      <c r="A22" s="17"/>
      <c r="B22" s="176"/>
      <c r="C22" s="39"/>
      <c r="D22" s="153"/>
      <c r="E22" s="41"/>
      <c r="F22" s="52" t="s">
        <v>85</v>
      </c>
      <c r="G22" s="42">
        <v>0</v>
      </c>
      <c r="H22" s="182">
        <f>H18*G22</f>
        <v>0</v>
      </c>
      <c r="I22" s="183"/>
      <c r="J22" s="182">
        <f>J18*G22</f>
        <v>0</v>
      </c>
      <c r="K22" s="183"/>
      <c r="L22" s="21"/>
      <c r="M22" s="37" t="s">
        <v>64</v>
      </c>
    </row>
    <row r="23" spans="1:14" ht="18" customHeight="1">
      <c r="A23" s="18"/>
      <c r="B23" s="176"/>
      <c r="C23" s="39"/>
      <c r="D23" s="153"/>
      <c r="E23" s="19"/>
      <c r="F23" s="103" t="s">
        <v>87</v>
      </c>
      <c r="G23" s="104">
        <f>(G21*12+G22)/12</f>
        <v>0.16</v>
      </c>
      <c r="H23" s="169">
        <f>H18*$G$23</f>
        <v>784</v>
      </c>
      <c r="I23" s="170"/>
      <c r="J23" s="169">
        <f>J18*$G$23</f>
        <v>784</v>
      </c>
      <c r="K23" s="170"/>
      <c r="L23" s="21"/>
      <c r="M23" s="37" t="s">
        <v>65</v>
      </c>
    </row>
    <row r="24" spans="1:14" ht="18" customHeight="1">
      <c r="A24" s="17"/>
      <c r="B24" s="177"/>
      <c r="C24" s="40"/>
      <c r="D24" s="154"/>
      <c r="E24" s="17"/>
      <c r="F24" s="53" t="s">
        <v>105</v>
      </c>
      <c r="G24" s="50"/>
      <c r="H24" s="163">
        <v>100</v>
      </c>
      <c r="I24" s="197"/>
      <c r="J24" s="197"/>
      <c r="K24" s="164"/>
      <c r="L24" s="21"/>
      <c r="M24" s="37" t="s">
        <v>37</v>
      </c>
    </row>
    <row r="25" spans="1:14" ht="18" customHeight="1">
      <c r="A25" s="18"/>
      <c r="B25" s="22" t="s">
        <v>84</v>
      </c>
      <c r="C25" s="5"/>
      <c r="D25" s="58">
        <f>D28/D8</f>
        <v>10073.645449763282</v>
      </c>
      <c r="E25" s="41"/>
      <c r="F25" s="188" t="s">
        <v>6</v>
      </c>
      <c r="G25" s="79"/>
      <c r="H25" s="191" t="s">
        <v>110</v>
      </c>
      <c r="I25" s="192"/>
      <c r="J25" s="191" t="s">
        <v>111</v>
      </c>
      <c r="K25" s="192"/>
      <c r="L25" s="21"/>
      <c r="M25" s="37">
        <v>1</v>
      </c>
    </row>
    <row r="26" spans="1:14" ht="18" customHeight="1">
      <c r="A26" s="18"/>
      <c r="B26" s="75"/>
      <c r="C26" s="75"/>
      <c r="D26" s="75"/>
      <c r="E26" s="19"/>
      <c r="F26" s="189"/>
      <c r="G26" s="80"/>
      <c r="H26" s="193"/>
      <c r="I26" s="194"/>
      <c r="J26" s="193"/>
      <c r="K26" s="194"/>
      <c r="L26" s="20"/>
      <c r="M26" s="133" t="s">
        <v>55</v>
      </c>
    </row>
    <row r="27" spans="1:14" ht="18" customHeight="1">
      <c r="A27" s="17"/>
      <c r="B27" s="149" t="s">
        <v>42</v>
      </c>
      <c r="C27" s="150"/>
      <c r="D27" s="151"/>
      <c r="E27" s="19"/>
      <c r="F27" s="189"/>
      <c r="G27" s="80"/>
      <c r="H27" s="193"/>
      <c r="I27" s="194"/>
      <c r="J27" s="193"/>
      <c r="K27" s="194"/>
      <c r="L27" s="20"/>
      <c r="M27" s="133" t="s">
        <v>50</v>
      </c>
    </row>
    <row r="28" spans="1:14" ht="18" customHeight="1">
      <c r="A28" s="17"/>
      <c r="B28" s="98" t="s">
        <v>60</v>
      </c>
      <c r="C28" s="99"/>
      <c r="D28" s="59">
        <v>574500</v>
      </c>
      <c r="E28" s="18"/>
      <c r="F28" s="189"/>
      <c r="G28" s="80"/>
      <c r="H28" s="193"/>
      <c r="I28" s="194"/>
      <c r="J28" s="193"/>
      <c r="K28" s="194"/>
      <c r="L28" s="20"/>
      <c r="M28" s="92">
        <f>IF(J6=M26,0,1)</f>
        <v>0</v>
      </c>
    </row>
    <row r="29" spans="1:14" ht="18" customHeight="1">
      <c r="A29" s="17"/>
      <c r="B29" s="135" t="s">
        <v>25</v>
      </c>
      <c r="C29" s="25"/>
      <c r="D29" s="58">
        <f>IF(M21=2, 0, D28*2%)</f>
        <v>11490</v>
      </c>
      <c r="E29" s="17"/>
      <c r="F29" s="190"/>
      <c r="G29" s="80"/>
      <c r="H29" s="195"/>
      <c r="I29" s="196"/>
      <c r="J29" s="195"/>
      <c r="K29" s="196"/>
      <c r="L29" s="20"/>
      <c r="M29" s="134" t="s">
        <v>66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2632.8199999999997</v>
      </c>
      <c r="E30" s="18"/>
      <c r="F30" s="52" t="s">
        <v>44</v>
      </c>
      <c r="G30" s="45"/>
      <c r="H30" s="69">
        <v>0</v>
      </c>
      <c r="I30" s="85" t="str">
        <f>IF(H30=1,"tydzień",IF(AND(H30&lt;5,H30&gt;1),"tygodnie",IF(H30&gt;9,"WTF!?!","tygodni")))</f>
        <v>tygodni</v>
      </c>
      <c r="J30" s="69">
        <v>1</v>
      </c>
      <c r="K30" s="85" t="str">
        <f>IF(J30=1,"tydzień",IF(AND(J30&lt;5,J30&gt;1),"tygodnie",IF(J30&gt;9,"WTF!?!","tygodni")))</f>
        <v>tydzień</v>
      </c>
      <c r="L30" s="21"/>
      <c r="M30" s="134" t="s">
        <v>37</v>
      </c>
    </row>
    <row r="31" spans="1:14" ht="18" customHeight="1">
      <c r="A31" s="17"/>
      <c r="B31" s="36" t="s">
        <v>8</v>
      </c>
      <c r="C31" s="124"/>
      <c r="D31" s="51">
        <v>0</v>
      </c>
      <c r="E31" s="18"/>
      <c r="F31" s="68"/>
      <c r="G31" s="68"/>
      <c r="H31" s="68"/>
      <c r="I31" s="68"/>
      <c r="J31" s="68"/>
      <c r="K31" s="68"/>
      <c r="L31" s="21"/>
    </row>
    <row r="32" spans="1:14" ht="18" customHeight="1">
      <c r="A32" s="17"/>
      <c r="B32" s="26" t="s">
        <v>4</v>
      </c>
      <c r="C32" s="25"/>
      <c r="D32" s="51">
        <v>0</v>
      </c>
      <c r="E32" s="18"/>
      <c r="F32" s="157" t="s">
        <v>69</v>
      </c>
      <c r="G32" s="158"/>
      <c r="H32" s="198">
        <f>(H18+H20-H14-H24/12)*12/$D$35*100</f>
        <v>9.7976571815441797</v>
      </c>
      <c r="I32" s="199"/>
      <c r="J32" s="187">
        <f>(J18+J20-H14-H24/12)*12/$D$35*100</f>
        <v>9.7976571815441797</v>
      </c>
      <c r="K32" s="187"/>
      <c r="L32" s="21"/>
      <c r="M32" s="6" t="str">
        <f>IF(M11=3,M29,M30)</f>
        <v>własność</v>
      </c>
      <c r="N32" s="1" t="s">
        <v>89</v>
      </c>
    </row>
    <row r="33" spans="1:14" ht="18" customHeight="1">
      <c r="A33" s="17"/>
      <c r="B33" s="26" t="s">
        <v>32</v>
      </c>
      <c r="C33" s="25"/>
      <c r="D33" s="51">
        <v>10500</v>
      </c>
      <c r="E33" s="18"/>
      <c r="F33" s="165" t="s">
        <v>73</v>
      </c>
      <c r="G33" s="165"/>
      <c r="H33" s="166">
        <f>((H18+H20)*(1-(H30/52))-H14-H24/12)*12/$D$35*100</f>
        <v>9.7976571815441797</v>
      </c>
      <c r="I33" s="167"/>
      <c r="J33" s="168">
        <f>((J18+J20)*(1-(J30/52))-H14-H24/12)*12/$D$35*100</f>
        <v>9.6089197151980912</v>
      </c>
      <c r="K33" s="168"/>
      <c r="L33" s="20"/>
      <c r="M33" s="6" t="str">
        <f>IF(M11&gt;1,M24,M22)</f>
        <v>nie dotyczy</v>
      </c>
      <c r="N33" s="1" t="s">
        <v>90</v>
      </c>
    </row>
    <row r="34" spans="1:14" ht="18" customHeight="1">
      <c r="A34" s="17"/>
      <c r="B34" s="24" t="s">
        <v>13</v>
      </c>
      <c r="C34" s="25"/>
      <c r="D34" s="51">
        <v>0</v>
      </c>
      <c r="E34" s="18"/>
      <c r="F34" s="155" t="s">
        <v>74</v>
      </c>
      <c r="G34" s="156"/>
      <c r="H34" s="171">
        <f>(H18+H20-H14-H24/12-H23)*12/$D$35*100</f>
        <v>8.2273614615447297</v>
      </c>
      <c r="I34" s="172"/>
      <c r="J34" s="166">
        <f>(J18+J20-H14-H24/12-J23)*12/$D$35*100</f>
        <v>8.2273614615447297</v>
      </c>
      <c r="K34" s="167"/>
      <c r="L34" s="21"/>
      <c r="M34" s="6">
        <f>IF(M7=3,1.5%, IF(M11=3,10%,2.5%))</f>
        <v>0.1</v>
      </c>
      <c r="N34" s="1" t="s">
        <v>91</v>
      </c>
    </row>
    <row r="35" spans="1:14" ht="18" customHeight="1">
      <c r="A35" s="18"/>
      <c r="B35" s="98" t="s">
        <v>2</v>
      </c>
      <c r="C35" s="100"/>
      <c r="D35" s="126">
        <f>D28+SUM(D29:D34)</f>
        <v>599122.81999999995</v>
      </c>
      <c r="E35" s="18"/>
      <c r="F35" s="184" t="s">
        <v>76</v>
      </c>
      <c r="G35" s="185"/>
      <c r="H35" s="178">
        <f>((H18+H20)*(1-(H30/52))-H14-H24/12-H23*(1-(H30/52)))*12/$D$35*100</f>
        <v>8.2273614615447297</v>
      </c>
      <c r="I35" s="179"/>
      <c r="J35" s="180">
        <f>((J18+J20)*(1-(J30/52))-H14-H24/12-J23*(1-(J30/52)))*12/$D$35*100</f>
        <v>8.0688219898140172</v>
      </c>
      <c r="K35" s="181"/>
      <c r="L35" s="21"/>
      <c r="M35" s="6" t="e">
        <f>IF(#REF!=10%,19%,18%)</f>
        <v>#REF!</v>
      </c>
      <c r="N35" s="1" t="s">
        <v>92</v>
      </c>
    </row>
    <row r="36" spans="1:14" ht="18" customHeight="1">
      <c r="A36" s="18"/>
      <c r="B36" s="109" t="s">
        <v>45</v>
      </c>
      <c r="C36" s="110"/>
      <c r="D36" s="111">
        <f>D28+D32</f>
        <v>574500</v>
      </c>
      <c r="E36" s="18"/>
      <c r="F36" s="75"/>
      <c r="G36" s="75"/>
      <c r="H36" s="75"/>
      <c r="I36" s="75"/>
      <c r="J36" s="75"/>
      <c r="K36" s="48"/>
      <c r="L36" s="21"/>
      <c r="M36" s="6" t="s">
        <v>70</v>
      </c>
    </row>
    <row r="37" spans="1:14" ht="18" customHeight="1">
      <c r="A37" s="18"/>
      <c r="B37" s="112" t="s">
        <v>14</v>
      </c>
      <c r="C37" s="113"/>
      <c r="D37" s="59">
        <v>543000</v>
      </c>
      <c r="E37" s="19"/>
      <c r="F37" s="149" t="s">
        <v>46</v>
      </c>
      <c r="G37" s="150"/>
      <c r="H37" s="150"/>
      <c r="I37" s="150"/>
      <c r="J37" s="150"/>
      <c r="K37" s="151"/>
      <c r="L37" s="20"/>
      <c r="M37" s="141">
        <v>8.5000000000000006E-2</v>
      </c>
    </row>
    <row r="38" spans="1:14" ht="18" customHeight="1">
      <c r="A38" s="18"/>
      <c r="B38" s="47"/>
      <c r="C38" s="47"/>
      <c r="D38" s="47"/>
      <c r="E38" s="19"/>
      <c r="F38" s="213" t="s">
        <v>102</v>
      </c>
      <c r="G38" s="214"/>
      <c r="H38" s="214"/>
      <c r="I38" s="214"/>
      <c r="J38" s="143">
        <v>8.5000000000000006E-2</v>
      </c>
      <c r="K38" s="140"/>
      <c r="L38" s="20"/>
      <c r="M38" s="142">
        <v>0.125</v>
      </c>
    </row>
    <row r="39" spans="1:14" ht="18" customHeight="1">
      <c r="A39" s="18"/>
      <c r="B39" s="137" t="s">
        <v>47</v>
      </c>
      <c r="C39" s="138"/>
      <c r="D39" s="139"/>
      <c r="E39" s="19"/>
      <c r="F39" s="32" t="s">
        <v>21</v>
      </c>
      <c r="G39" s="43"/>
      <c r="H39" s="220">
        <f>(H18+H20)*J38</f>
        <v>416.50000000000006</v>
      </c>
      <c r="I39" s="221"/>
      <c r="J39" s="222">
        <f>(J18+J20)*J38</f>
        <v>416.50000000000006</v>
      </c>
      <c r="K39" s="222"/>
      <c r="L39" s="20"/>
      <c r="M39" s="144">
        <v>0.17</v>
      </c>
    </row>
    <row r="40" spans="1:14" ht="18" customHeight="1">
      <c r="A40" s="18"/>
      <c r="B40" s="27" t="s">
        <v>15</v>
      </c>
      <c r="C40" s="60"/>
      <c r="D40" s="77">
        <v>30</v>
      </c>
      <c r="E40" s="19"/>
      <c r="F40" s="33" t="s">
        <v>22</v>
      </c>
      <c r="G40" s="44"/>
      <c r="H40" s="173">
        <f>(H18+H20-H39-H24/12)*(1-(H30/52))-$H$14-H23-$D$46</f>
        <v>1255.6050365128908</v>
      </c>
      <c r="I40" s="174"/>
      <c r="J40" s="173">
        <f>(J18+J20-J39-H24/12)*(1-(J30/52))-$H$14-J23-$D$46</f>
        <v>1169.5441390769934</v>
      </c>
      <c r="K40" s="174"/>
      <c r="L40" s="20"/>
      <c r="M40" s="144">
        <v>0.19</v>
      </c>
    </row>
    <row r="41" spans="1:14" ht="18" customHeight="1">
      <c r="A41" s="35"/>
      <c r="B41" s="28" t="s">
        <v>16</v>
      </c>
      <c r="C41" s="61"/>
      <c r="D41" s="73">
        <v>2.1000000000000001E-2</v>
      </c>
      <c r="E41" s="19"/>
      <c r="F41" s="96" t="s">
        <v>20</v>
      </c>
      <c r="G41" s="84"/>
      <c r="H41" s="95">
        <f>IF(AND($D$48&lt;0,H40&gt;0),"∞",IF(AND($D$48&lt;0,H40&lt;0),"hmmm...",IF(H40&lt;0,"hmmm...",H40*12/$D$48)))</f>
        <v>0.10263534312768356</v>
      </c>
      <c r="I41" s="71" t="str">
        <f>IF(H41="∞","",IF(100%/H41*12&lt;48,"("&amp;INT(100%/H41*12)&amp;" mies.)","("&amp;MROUND(100%/H41,0.1)&amp;" lat)"))</f>
        <v>(9,7 lat)</v>
      </c>
      <c r="J41" s="95">
        <f>IF(AND($D$48&lt;0,J40&gt;0),"∞",IF(AND($D$48&lt;0,J40&lt;0),"hmmm...",IF(J40&lt;0,"hmmm...",J40*12/$D$48)))</f>
        <v>9.5600575440911037E-2</v>
      </c>
      <c r="K41" s="71" t="str">
        <f>IF(J41="∞","",IF(100%/J41*12&lt;48,"("&amp;INT(100%/J41*12)&amp;" mies.)","("&amp;MROUND(100%/J41,0.1)&amp;" lat)"))</f>
        <v>(10,5 lat)</v>
      </c>
      <c r="L41" s="20"/>
    </row>
    <row r="42" spans="1:14" ht="18" customHeight="1">
      <c r="A42" s="18"/>
      <c r="B42" s="28" t="s">
        <v>28</v>
      </c>
      <c r="C42" s="61"/>
      <c r="D42" s="73">
        <v>2.75E-2</v>
      </c>
      <c r="E42" s="34"/>
      <c r="F42" s="83" t="s">
        <v>82</v>
      </c>
      <c r="G42" s="84"/>
      <c r="H42" s="223">
        <f>12*((H18+H20-H39-H24/12)*(1-(H30/52))-$H$14-H23-$D$46)</f>
        <v>15067.26043815469</v>
      </c>
      <c r="I42" s="224"/>
      <c r="J42" s="223">
        <f>12*((J18+J20-J39-H24/12)*(1-(J30/52))-$H$14-J23-$D$46)</f>
        <v>14034.52966892392</v>
      </c>
      <c r="K42" s="224"/>
      <c r="L42" s="20"/>
    </row>
    <row r="43" spans="1:14" ht="18" customHeight="1">
      <c r="A43" s="18"/>
      <c r="B43" s="28" t="s">
        <v>17</v>
      </c>
      <c r="C43" s="61"/>
      <c r="D43" s="127">
        <f>D41+D42</f>
        <v>4.8500000000000001E-2</v>
      </c>
      <c r="E43" s="19"/>
      <c r="F43" s="225" t="s">
        <v>75</v>
      </c>
      <c r="G43" s="226"/>
      <c r="H43" s="226"/>
      <c r="I43" s="226"/>
      <c r="J43" s="226"/>
      <c r="K43" s="227"/>
      <c r="L43" s="20"/>
    </row>
    <row r="44" spans="1:14" ht="18" customHeight="1">
      <c r="A44" s="18"/>
      <c r="B44" s="29" t="s">
        <v>31</v>
      </c>
      <c r="C44" s="62"/>
      <c r="D44" s="74">
        <f>D45*2%</f>
        <v>9231</v>
      </c>
      <c r="E44" s="19"/>
      <c r="F44" s="31" t="s">
        <v>33</v>
      </c>
      <c r="G44" s="145">
        <v>0.17</v>
      </c>
      <c r="H44" s="228">
        <f>(H18+H20-H24/12-$H$14-H23-$M$18)*($G$44+IF(G44=17%,9%,4.9%))</f>
        <v>586.34372713238076</v>
      </c>
      <c r="I44" s="229"/>
      <c r="J44" s="228">
        <f>(J18+J20-H24/12-$H$14-J23-$M$18)*($G$44+IF(G44=17%,9%,4.9%))</f>
        <v>586.34372713238076</v>
      </c>
      <c r="K44" s="229"/>
      <c r="L44" s="15"/>
    </row>
    <row r="45" spans="1:14" ht="18" customHeight="1">
      <c r="A45" s="18"/>
      <c r="B45" s="30" t="s">
        <v>19</v>
      </c>
      <c r="C45" s="63"/>
      <c r="D45" s="76">
        <f>D37*85%</f>
        <v>461550</v>
      </c>
      <c r="E45" s="19"/>
      <c r="F45" s="82" t="s">
        <v>22</v>
      </c>
      <c r="G45" s="46"/>
      <c r="H45" s="218">
        <f>(H18+H20-H24/12)*(1-(H30/52))-$H$14-H23-$D$46-H44</f>
        <v>1085.7613093805101</v>
      </c>
      <c r="I45" s="219"/>
      <c r="J45" s="218">
        <f>(J18+J20-H24/12)*(1-(J30/52))-$H$14-J23-$D$46-J44</f>
        <v>991.69079655999735</v>
      </c>
      <c r="K45" s="219"/>
      <c r="L45" s="15"/>
    </row>
    <row r="46" spans="1:14" ht="18" customHeight="1">
      <c r="A46" s="18"/>
      <c r="B46" s="114" t="s">
        <v>5</v>
      </c>
      <c r="C46" s="115"/>
      <c r="D46" s="128">
        <f>ABS(PMT(D43/12,D40*12,D45))</f>
        <v>2435.5616301537762</v>
      </c>
      <c r="E46" s="41"/>
      <c r="F46" s="82" t="s">
        <v>20</v>
      </c>
      <c r="G46" s="45"/>
      <c r="H46" s="97">
        <f>IF(AND($D$48&lt;0,H45&gt;0),"∞",IF(AND($D$48&lt;0,H45&lt;0),"hmmm...",IF(H45&lt;0,"hmmm...",H45*12/$D$48)))</f>
        <v>8.875202097987725E-2</v>
      </c>
      <c r="I46" s="70" t="str">
        <f>IF(H46="∞","",IF(100%/H46*12&lt;48,"("&amp;INT(100%/H46*12)&amp;" mies.)","("&amp;MROUND(100%/H46,0.1)&amp;" lat)"))</f>
        <v>(11,3 lat)</v>
      </c>
      <c r="J46" s="97">
        <f>IF(AND($D$48&lt;0,J45&gt;0),"∞",IF(AND($D$48&lt;0,J45&lt;0),"hmmm...",IF(J45&lt;0,"hmmm...",J45*12/$D$48)))</f>
        <v>8.1062533377673496E-2</v>
      </c>
      <c r="K46" s="70" t="str">
        <f>IF(J46="∞","",IF(100%/J46*12&lt;48,"("&amp;INT(100%/J46*12)&amp;" mies.)","("&amp;MROUND(100%/J46,0.1)&amp;" lat)"))</f>
        <v>(12,3 lat)</v>
      </c>
      <c r="L46" s="34"/>
      <c r="M46" s="6" t="s">
        <v>70</v>
      </c>
    </row>
    <row r="47" spans="1:14" ht="18" customHeight="1">
      <c r="A47" s="18"/>
      <c r="B47" s="116" t="s">
        <v>18</v>
      </c>
      <c r="C47" s="117"/>
      <c r="D47" s="129">
        <f>D35+D44</f>
        <v>608353.81999999995</v>
      </c>
      <c r="E47" s="41"/>
      <c r="F47" s="31" t="s">
        <v>103</v>
      </c>
      <c r="G47" s="45"/>
      <c r="H47" s="215">
        <f>12*((H18+H20-H24/12)*(1-(H30/52))-$H$14-H23-$D$46-H44)+$D$33*$G$44</f>
        <v>14814.13571256612</v>
      </c>
      <c r="I47" s="216"/>
      <c r="J47" s="215">
        <f>12*((J18+J20-H24/12)*(1-(J30/52))-$H$14-J23-$D$46-J44)+$D$33*$G$44</f>
        <v>13685.289558719967</v>
      </c>
      <c r="K47" s="216"/>
      <c r="L47" s="34"/>
    </row>
    <row r="48" spans="1:14" ht="18" customHeight="1">
      <c r="A48" s="18"/>
      <c r="B48" s="116" t="s">
        <v>27</v>
      </c>
      <c r="C48" s="117"/>
      <c r="D48" s="130">
        <f>D47-D45</f>
        <v>146803.81999999995</v>
      </c>
      <c r="E48" s="15"/>
      <c r="F48" s="31" t="s">
        <v>104</v>
      </c>
      <c r="G48" s="45"/>
      <c r="H48" s="215">
        <f>12*((H18+H20-H24/12)*(1-(H30/52))-$H$14-H23-$D$46-H44)</f>
        <v>13029.13571256612</v>
      </c>
      <c r="I48" s="216"/>
      <c r="J48" s="215">
        <f>12*((J18+J20-H24/12)*(1-(J30/52))-$H$14-J23-$D$46-J44)</f>
        <v>11900.289558719967</v>
      </c>
      <c r="K48" s="216"/>
      <c r="L48" s="34"/>
    </row>
    <row r="49" spans="1:12" ht="18" customHeight="1">
      <c r="A49" s="35"/>
      <c r="B49" s="120"/>
      <c r="C49" s="120"/>
      <c r="D49" s="120"/>
      <c r="E49" s="48"/>
      <c r="F49" s="120"/>
      <c r="G49" s="48"/>
      <c r="H49" s="120"/>
      <c r="I49" s="120"/>
      <c r="J49" s="120"/>
      <c r="K49" s="48"/>
      <c r="L49" s="34"/>
    </row>
    <row r="50" spans="1:12" ht="18" customHeight="1">
      <c r="A50" s="123"/>
      <c r="B50" s="217" t="s">
        <v>99</v>
      </c>
      <c r="C50" s="217"/>
      <c r="D50" s="217"/>
      <c r="E50" s="217"/>
      <c r="F50" s="217"/>
      <c r="G50" s="212" t="s">
        <v>97</v>
      </c>
      <c r="H50" s="212"/>
      <c r="I50" s="212"/>
      <c r="J50" s="212"/>
      <c r="K50" s="136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0EqMgUo7B+Rh5wy82ZQvDcweZy4M7KUOlp/sYpOzuIXfK2gv8EVXM0nAaF4Qz/5HIHfGjPnCIioS7du20/YlGg==" saltValue="OMqnKBK4rMNWJ3F4YlbUFQ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</mergeCells>
  <dataValidations count="14">
    <dataValidation type="list" allowBlank="1" showInputMessage="1" showErrorMessage="1" error="podatek dochodowy musi się zawierać między 17% a 36%" sqref="G44" xr:uid="{00000000-0002-0000-0000-000001000000}">
      <formula1>$M$39:$M$40</formula1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29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6:J13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  <dataValidation type="list" allowBlank="1" showInputMessage="1" showErrorMessage="1" sqref="J38" xr:uid="{08502BC4-4640-44A7-9EDF-671D7FE598AC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J19 K20 I20 H20 J20 M28 M7 M21 J7:J9 M11 J11:J13 M18 D10 D30 K18 I18 D44:D45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Wójcik</cp:lastModifiedBy>
  <cp:lastPrinted>2017-01-19T16:40:16Z</cp:lastPrinted>
  <dcterms:created xsi:type="dcterms:W3CDTF">2012-03-06T10:48:18Z</dcterms:created>
  <dcterms:modified xsi:type="dcterms:W3CDTF">2023-01-23T09:05:57Z</dcterms:modified>
</cp:coreProperties>
</file>