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ropbox\IH aktualne transakcje\Kraków, os. Szkolne 14 m. 12\"/>
    </mc:Choice>
  </mc:AlternateContent>
  <xr:revisionPtr revIDLastSave="0" documentId="8_{6B222506-70DD-45C4-8314-C91DBE2D7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aliza inwestycyjna" sheetId="1" r:id="rId1"/>
  </sheets>
  <definedNames>
    <definedName name="płaci_właściciel">'Analiza inwestycyjna'!$M$37:$M$38</definedName>
    <definedName name="Z_5C97960D_1A0F_42A4_942F_A6E68C8CF6BC_.wvu.Cols" localSheetId="0" hidden="1">'Analiza inwestycyjna'!#REF!</definedName>
    <definedName name="Z_5C97960D_1A0F_42A4_942F_A6E68C8CF6BC_.wvu.Rows" localSheetId="0" hidden="1">'Analiza inwestycyjna'!#REF!,'Analiza inwestycyjna'!$42:$50</definedName>
  </definedNames>
  <calcPr calcId="191029"/>
  <customWorkbookViews>
    <customWorkbookView name="Piotr Hryniewicz - Widok osobisty" guid="{5C97960D-1A0F-42A4-942F-A6E68C8CF6BC}" mergeInterval="0" personalView="1" windowWidth="1920" windowHeight="1040" activeSheetId="1"/>
  </customWorkbookViews>
</workbook>
</file>

<file path=xl/calcChain.xml><?xml version="1.0" encoding="utf-8"?>
<calcChain xmlns="http://schemas.openxmlformats.org/spreadsheetml/2006/main">
  <c r="H5" i="1" l="1"/>
  <c r="D28" i="1"/>
  <c r="J18" i="1" l="1"/>
  <c r="I6" i="1"/>
  <c r="H18" i="1"/>
  <c r="I8" i="1"/>
  <c r="J10" i="1"/>
  <c r="J8" i="1"/>
  <c r="D25" i="1"/>
  <c r="K30" i="1"/>
  <c r="I30" i="1"/>
  <c r="J13" i="1"/>
  <c r="J7" i="1"/>
  <c r="J9" i="1"/>
  <c r="J11" i="1"/>
  <c r="J12" i="1"/>
  <c r="D45" i="1" l="1"/>
  <c r="D44" i="1" s="1"/>
  <c r="H10" i="1" l="1"/>
  <c r="K10" i="1" s="1"/>
  <c r="K9" i="1"/>
  <c r="J22" i="1"/>
  <c r="K13" i="1"/>
  <c r="K6" i="1"/>
  <c r="K11" i="1"/>
  <c r="M11" i="1"/>
  <c r="K7" i="1"/>
  <c r="K8" i="1"/>
  <c r="K12" i="1"/>
  <c r="G23" i="1"/>
  <c r="H23" i="1" s="1"/>
  <c r="M28" i="1"/>
  <c r="H20" i="1" s="1"/>
  <c r="D36" i="1"/>
  <c r="M7" i="1"/>
  <c r="M21" i="1"/>
  <c r="D29" i="1" s="1"/>
  <c r="D43" i="1"/>
  <c r="H22" i="1"/>
  <c r="H21" i="1"/>
  <c r="H39" i="1" l="1"/>
  <c r="M34" i="1"/>
  <c r="J23" i="1"/>
  <c r="D10" i="1"/>
  <c r="M33" i="1"/>
  <c r="M32" i="1"/>
  <c r="D46" i="1"/>
  <c r="D30" i="1"/>
  <c r="D35" i="1" s="1"/>
  <c r="J21" i="1"/>
  <c r="M18" i="1"/>
  <c r="H14" i="1"/>
  <c r="J19" i="1"/>
  <c r="J20" i="1" s="1"/>
  <c r="H44" i="1" l="1"/>
  <c r="H48" i="1" s="1"/>
  <c r="H32" i="1"/>
  <c r="J39" i="1"/>
  <c r="J42" i="1" s="1"/>
  <c r="J44" i="1"/>
  <c r="J48" i="1" s="1"/>
  <c r="D47" i="1"/>
  <c r="H42" i="1"/>
  <c r="M35" i="1"/>
  <c r="H40" i="1"/>
  <c r="H35" i="1"/>
  <c r="J32" i="1"/>
  <c r="J33" i="1"/>
  <c r="J35" i="1"/>
  <c r="J34" i="1"/>
  <c r="H33" i="1"/>
  <c r="H34" i="1"/>
  <c r="H45" i="1" l="1"/>
  <c r="J40" i="1"/>
  <c r="J47" i="1"/>
  <c r="D48" i="1"/>
  <c r="H47" i="1" l="1"/>
  <c r="J41" i="1"/>
  <c r="K41" i="1" s="1"/>
  <c r="J45" i="1"/>
  <c r="J46" i="1" s="1"/>
  <c r="K46" i="1" s="1"/>
  <c r="H46" i="1"/>
  <c r="I46" i="1" s="1"/>
  <c r="H41" i="1"/>
  <c r="I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Grynio</author>
    <author>Iza Hryniewicz</author>
    <author>Piotr Hryniewicz</author>
  </authors>
  <commentList>
    <comment ref="H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 xml:space="preserve">aktualna kwota czynszu pozwalająca na rodzielenie poszczególnych pozycji związanych z kosztami, które mogą zostać przerzucone na najemcą
</t>
        </r>
      </text>
    </comment>
    <comment ref="I4" authorId="0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>prognozowane koszty zużycia poszczególnych mediów przy całkowicie wynajętym mieszkaniu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6" authorId="0" shapeId="0" xr:uid="{00000000-0006-0000-0000-000003000000}">
      <text>
        <r>
          <rPr>
            <b/>
            <sz val="10"/>
            <color rgb="FF000000"/>
            <rFont val="Tahoma"/>
            <family val="2"/>
            <charset val="238"/>
          </rPr>
          <t>opłata stała i zmienna za ciepłą i zimną wodę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</text>
    </comment>
    <comment ref="J6" authorId="0" shapeId="0" xr:uid="{00000000-0006-0000-0000-000004000000}">
      <text>
        <r>
          <rPr>
            <b/>
            <sz val="10"/>
            <color indexed="81"/>
            <rFont val="Tahoma"/>
            <family val="2"/>
            <charset val="238"/>
          </rPr>
          <t>"płacą najemcy" oznacza, że ten koszt jest rozliczany co miesiąc na podstawie liczników (zużycia) i przerzucony na najemców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
"płaci właściciel" oznacza, że właściciel rozlicza się z najemcami ryczałtem, który od nich pobiera, a miesięczne koszty zużycia pokrywa samodzielnie
</t>
        </r>
      </text>
    </comment>
    <comment ref="B9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nie dotyczy w przypadku SWPdL, chyba że będziemy przekształcać mieszkanie w odrębną własność, to warto to sprawdzić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00000000-0006-0000-0000-000006000000}">
      <text>
        <r>
          <rPr>
            <b/>
            <sz val="10"/>
            <color indexed="81"/>
            <rFont val="Tahoma"/>
            <family val="2"/>
            <charset val="238"/>
          </rPr>
          <t xml:space="preserve">jeżeli jest ujęty w czynszu spółdzielni
</t>
        </r>
      </text>
    </comment>
    <comment ref="F18" authorId="1" shapeId="0" xr:uid="{00000000-0006-0000-0000-000008000000}">
      <text>
        <r>
          <rPr>
            <b/>
            <sz val="10"/>
            <color indexed="81"/>
            <rFont val="Tahoma"/>
            <family val="2"/>
            <charset val="238"/>
          </rPr>
          <t>suma czynszów z umowy najmu płaconych terminowo (z rabatem), bez ryczałtu za media, opłat licznikowych i zaliczek</t>
        </r>
      </text>
    </comment>
    <comment ref="F19" authorId="0" shapeId="0" xr:uid="{00000000-0006-0000-0000-000009000000}">
      <text>
        <r>
          <rPr>
            <b/>
            <sz val="10"/>
            <color rgb="FF000000"/>
            <rFont val="Tahoma"/>
            <family val="2"/>
            <charset val="238"/>
          </rPr>
          <t xml:space="preserve">jeśli koszty zużycia mediów rozliczasz z najemcami za pomocą stałego ryczałtu, wpisz tutaj stawkę za pojedynczą osobę
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b/>
            <sz val="10"/>
            <color rgb="FF000000"/>
            <rFont val="Tahoma"/>
            <family val="2"/>
            <charset val="238"/>
          </rPr>
          <t>pozostaw 0 zł, jeśli media rozliczasz na podstawie bieżącego zużycia (liczniki)</t>
        </r>
      </text>
    </comment>
    <comment ref="F23" authorId="0" shapeId="0" xr:uid="{00000000-0006-0000-0000-00000A000000}">
      <text>
        <r>
          <rPr>
            <b/>
            <sz val="10"/>
            <color indexed="81"/>
            <rFont val="Tahoma"/>
            <family val="2"/>
            <charset val="238"/>
          </rPr>
          <t xml:space="preserve">porównanie do kosztów zarządzania na płaskiej stawce (bez rozbicia na pośrednictwo i administrację)
</t>
        </r>
      </text>
    </comment>
    <comment ref="F24" authorId="0" shapeId="0" xr:uid="{00000000-0006-0000-0000-00000B000000}">
      <text>
        <r>
          <rPr>
            <b/>
            <sz val="10"/>
            <color indexed="81"/>
            <rFont val="Tahoma"/>
            <family val="2"/>
            <charset val="238"/>
          </rPr>
          <t xml:space="preserve">Inne koszty miesięczne związane z kredytem lub mieszkaniem, np. ubezpieczenie - kwota do wpisania w skali roku. </t>
        </r>
      </text>
    </comment>
    <comment ref="B30" authorId="0" shapeId="0" xr:uid="{00000000-0006-0000-0000-00000E000000}">
      <text>
        <r>
          <rPr>
            <b/>
            <sz val="10"/>
            <color indexed="81"/>
            <rFont val="Tahoma"/>
            <family val="2"/>
            <charset val="238"/>
          </rPr>
          <t>to maksymalna stawka za notarialną umowę przyrzeczoną, jeśli wynegocjujesz niższą kwotę, zmień tę wartość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000-00000D000000}">
      <text>
        <r>
          <rPr>
            <b/>
            <sz val="10"/>
            <color indexed="81"/>
            <rFont val="Tahoma"/>
            <family val="2"/>
            <charset val="238"/>
          </rPr>
          <t>szacowany pustostan całego mieszkania w ciągu roku wyrażony w tygodniach, bez możliwości odzyskania czynszu od najemców</t>
        </r>
      </text>
    </comment>
    <comment ref="B32" authorId="2" shapeId="0" xr:uid="{00000000-0006-0000-0000-00000F000000}">
      <text>
        <r>
          <rPr>
            <b/>
            <sz val="10"/>
            <color indexed="81"/>
            <rFont val="Tahoma"/>
            <family val="2"/>
            <charset val="238"/>
          </rPr>
          <t>robocizna i materiały budowlane oraz meble w zabudowie
przy kapitalnym remoncie przyjmujemy 1300-2500 zł/m2 w zależności od zakresu prac</t>
        </r>
      </text>
    </comment>
    <comment ref="B33" authorId="2" shapeId="0" xr:uid="{00000000-0006-0000-0000-000010000000}">
      <text>
        <r>
          <rPr>
            <b/>
            <sz val="10"/>
            <color indexed="81"/>
            <rFont val="Tahoma"/>
            <family val="2"/>
            <charset val="238"/>
          </rPr>
          <t xml:space="preserve">umeblowanie mieszkania, sprzęt AGD, wyposażenie </t>
        </r>
      </text>
    </comment>
    <comment ref="B34" authorId="0" shapeId="0" xr:uid="{00000000-0006-0000-0000-000011000000}">
      <text>
        <r>
          <rPr>
            <b/>
            <sz val="10"/>
            <color indexed="81"/>
            <rFont val="Tahoma"/>
            <family val="2"/>
            <charset val="238"/>
          </rPr>
          <t xml:space="preserve">np.: operat szacunkowy, konsultacje prawne i podatkowe, koszty czynszu do spółdzielni/wspólnoty i media w trakcie remontu, zanim mieszkanie zostanie wynajęte
</t>
        </r>
      </text>
    </comment>
    <comment ref="B36" authorId="0" shapeId="0" xr:uid="{00000000-0006-0000-0000-000012000000}">
      <text>
        <r>
          <rPr>
            <b/>
            <sz val="10"/>
            <color indexed="81"/>
            <rFont val="Tahoma"/>
            <family val="2"/>
            <charset val="238"/>
          </rPr>
          <t>to wartość mieszkania podniesiona o faktyczne koszty remontu zwiększający jego wycenę - pozostałe koszty okołozakupowe oraz umeblowanie nie stanowią faktycznych kosztów zwiększających wartość mieszkania</t>
        </r>
      </text>
    </comment>
    <comment ref="F40" authorId="0" shapeId="0" xr:uid="{00000000-0006-0000-0000-000013000000}">
      <text>
        <r>
          <rPr>
            <b/>
            <sz val="10"/>
            <color indexed="81"/>
            <rFont val="Tahoma"/>
            <family val="2"/>
            <charset val="238"/>
          </rPr>
          <t xml:space="preserve">pozycja uwzględnia zarządzanie oraz szacowany pustostan
</t>
        </r>
      </text>
    </comment>
    <comment ref="F41" authorId="0" shapeId="0" xr:uid="{00000000-0006-0000-0000-000014000000}">
      <text>
        <r>
          <rPr>
            <b/>
            <sz val="10"/>
            <color indexed="81"/>
            <rFont val="Tahoma"/>
            <family val="2"/>
            <charset val="238"/>
          </rPr>
          <t>w nawiasie czas zwrotu inwestycji</t>
        </r>
      </text>
    </comment>
    <comment ref="B44" authorId="0" shapeId="0" xr:uid="{00000000-0006-0000-0000-000015000000}">
      <text>
        <r>
          <rPr>
            <b/>
            <sz val="10"/>
            <color indexed="81"/>
            <rFont val="Tahoma"/>
            <family val="2"/>
            <charset val="238"/>
          </rPr>
          <t>koszty dodatkowe nie wliczone do kwoty kredytu: prowizja za udzielenie kredytu, koszt wyceny rzeczoznawcy, ubezpieczenie niskiego wkładu, cross-selling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4" authorId="0" shapeId="0" xr:uid="{00000000-0006-0000-0000-000016000000}">
      <text>
        <r>
          <rPr>
            <b/>
            <sz val="10"/>
            <color indexed="81"/>
            <rFont val="Tahoma"/>
            <family val="2"/>
            <charset val="238"/>
          </rPr>
          <t>Podatek wg skali podatkowej - PIT 17% + 9% składki zdrowotnej.
Podatek liniowy - PIT 19% + 4,9% składki zdrowotnej.</t>
        </r>
      </text>
    </comment>
    <comment ref="B45" authorId="0" shapeId="0" xr:uid="{00000000-0006-0000-0000-000017000000}">
      <text>
        <r>
          <rPr>
            <b/>
            <sz val="10"/>
            <color indexed="81"/>
            <rFont val="Tahoma"/>
            <family val="2"/>
            <charset val="238"/>
          </rPr>
          <t xml:space="preserve">rekomendacja KNF przewiduje finansowanie banków na 80% LTV, jednak w niektórych bankach nadal można uzyskać kredyt hipoteczny na 90% LTV wykupując ubezpieczenie niskiego wkładu własnego. Więcej informacji znajdziesz na forum oraz w rapotach kredytowych.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5" authorId="0" shapeId="0" xr:uid="{00000000-0006-0000-0000-000018000000}">
      <text>
        <r>
          <rPr>
            <b/>
            <sz val="10"/>
            <color indexed="81"/>
            <rFont val="Tahoma"/>
            <family val="2"/>
            <charset val="238"/>
          </rPr>
          <t xml:space="preserve">Pozycja uwzględnia zarządzanie oraz szacowany pustostan
</t>
        </r>
      </text>
    </comment>
    <comment ref="F46" authorId="0" shapeId="0" xr:uid="{00000000-0006-0000-0000-000019000000}">
      <text>
        <r>
          <rPr>
            <b/>
            <sz val="10"/>
            <color indexed="81"/>
            <rFont val="Tahoma"/>
            <family val="2"/>
            <charset val="238"/>
          </rPr>
          <t>Z kosztami zarządzania i szacowanym pustostanem</t>
        </r>
      </text>
    </comment>
    <comment ref="F47" authorId="0" shapeId="0" xr:uid="{00000000-0006-0000-0000-00001B000000}">
      <text>
        <r>
          <rPr>
            <b/>
            <sz val="10"/>
            <color indexed="81"/>
            <rFont val="Tahoma"/>
            <family val="2"/>
            <charset val="238"/>
          </rPr>
          <t xml:space="preserve">Zawiera również koszt podatkowy umeblowania i wyposażenia
</t>
        </r>
      </text>
    </comment>
    <comment ref="F48" authorId="0" shapeId="0" xr:uid="{41A5DE08-E3E2-490E-96F4-2E7C08C94A21}">
      <text>
        <r>
          <rPr>
            <b/>
            <sz val="10"/>
            <color indexed="81"/>
            <rFont val="Tahoma"/>
            <family val="2"/>
            <charset val="238"/>
          </rPr>
          <t xml:space="preserve">Bez kosztu podatkowego umeblowania i wyposażenia w kolejnych latach
</t>
        </r>
      </text>
    </comment>
  </commentList>
</comments>
</file>

<file path=xl/sharedStrings.xml><?xml version="1.0" encoding="utf-8"?>
<sst xmlns="http://schemas.openxmlformats.org/spreadsheetml/2006/main" count="123" uniqueCount="114">
  <si>
    <t>Metraż</t>
  </si>
  <si>
    <t>Piętro</t>
  </si>
  <si>
    <t>Koszt inwestycji</t>
  </si>
  <si>
    <t>Lokalizacja</t>
  </si>
  <si>
    <t>Szacowany koszt remontu</t>
  </si>
  <si>
    <t>Rata kredytowa</t>
  </si>
  <si>
    <t>Dodatkowe informacje finansowe</t>
  </si>
  <si>
    <t>Rodzaj i technologia budynku</t>
  </si>
  <si>
    <t>Prowizja pośrednika brutto</t>
  </si>
  <si>
    <t>spółdzielcze własnościowe z KW</t>
  </si>
  <si>
    <t>spółdzielcze własnościowe bez KW</t>
  </si>
  <si>
    <t>łazienka i WC oddzielnie</t>
  </si>
  <si>
    <t>nowe budownictwo</t>
  </si>
  <si>
    <t>Pozostałe koszty</t>
  </si>
  <si>
    <t>Wartość z operatu szacunkowego</t>
  </si>
  <si>
    <t>Ilość lat</t>
  </si>
  <si>
    <t>Marża banku</t>
  </si>
  <si>
    <t>Oprocentowanie</t>
  </si>
  <si>
    <t>Suma kosztów inwestycji</t>
  </si>
  <si>
    <t>Kwota kredytu</t>
  </si>
  <si>
    <t>Stopa zwrotu (ROE)</t>
  </si>
  <si>
    <t>Podatek</t>
  </si>
  <si>
    <t>Zysk po opodatkowaniu</t>
  </si>
  <si>
    <t>stare budownictwo - cegła</t>
  </si>
  <si>
    <t>VAT wliczony w cenę</t>
  </si>
  <si>
    <t>Podatek PCC</t>
  </si>
  <si>
    <t>Dodatkowe informacje (okna, podłogi, ściany, łazienka, kuchnia, meble, ogrzewanie)</t>
  </si>
  <si>
    <t>Wkład własny</t>
  </si>
  <si>
    <t>WIBOR 3M</t>
  </si>
  <si>
    <t>odrębna własność</t>
  </si>
  <si>
    <t>Łazienka/WC</t>
  </si>
  <si>
    <t>Koszty okołokredytowe</t>
  </si>
  <si>
    <t>Umeblowanie i wyposażenie</t>
  </si>
  <si>
    <t xml:space="preserve">    Podatek dochodowy</t>
  </si>
  <si>
    <t>dwie łazienki z WC</t>
  </si>
  <si>
    <t>wielka płyta/rama H – wysoki blok</t>
  </si>
  <si>
    <t>wielka płyta/rama H – niski blok</t>
  </si>
  <si>
    <t>nie dotyczy</t>
  </si>
  <si>
    <t>Docelowa liczba pokoi</t>
  </si>
  <si>
    <t>Docelowy metraż pokoi</t>
  </si>
  <si>
    <t>Koszty notarialne i sądowe</t>
  </si>
  <si>
    <t>1. Dane podstawowe mieszkania</t>
  </si>
  <si>
    <t>2. Dane finansowe zakupu mieszkania</t>
  </si>
  <si>
    <t>Internet, inne</t>
  </si>
  <si>
    <t>Szacowany pustostan w ciągu roku</t>
  </si>
  <si>
    <t>Wartość nieruchomości z remontem</t>
  </si>
  <si>
    <t>7. Analiza finansowa - cashflow</t>
  </si>
  <si>
    <t>3. Dane kredytowe</t>
  </si>
  <si>
    <t>koszt właściciela</t>
  </si>
  <si>
    <t>Suma kosztów obciążających właściciela</t>
  </si>
  <si>
    <t>płaci właściciel</t>
  </si>
  <si>
    <t>Energia elektryczna</t>
  </si>
  <si>
    <t>- woda ciepła i zimna:</t>
  </si>
  <si>
    <t>- zaliczka na ogrzewanie:</t>
  </si>
  <si>
    <t>- wywóz śmieci:</t>
  </si>
  <si>
    <t>płacą najemcy</t>
  </si>
  <si>
    <t>Czynsz z umowy najmu</t>
  </si>
  <si>
    <t>Przychód z ryczałtu za media</t>
  </si>
  <si>
    <t>Docelowa liczba najemców</t>
  </si>
  <si>
    <t>Stawka ryczałtu za media za osobę</t>
  </si>
  <si>
    <t>Cena zakupu</t>
  </si>
  <si>
    <t>Stan prawny mieszkania</t>
  </si>
  <si>
    <t>Stan prawny gruntu</t>
  </si>
  <si>
    <t>Przekształcenie w odrębną własność</t>
  </si>
  <si>
    <t>tak, jest możliwość</t>
  </si>
  <si>
    <t>nie ma możliwości</t>
  </si>
  <si>
    <t>własność</t>
  </si>
  <si>
    <t>4. Miesięczne koszty utrzymania mieszkania</t>
  </si>
  <si>
    <t>5. Dane finansowe z wynajmu mieszkania</t>
  </si>
  <si>
    <t>6. Współczynnik rentowności (WR)</t>
  </si>
  <si>
    <t xml:space="preserve"> </t>
  </si>
  <si>
    <t>dotychczas</t>
  </si>
  <si>
    <t>przewidywane kwoty zużycia przy wynajmie</t>
  </si>
  <si>
    <t>WR z szacowanym pustostanem (WR+P)</t>
  </si>
  <si>
    <t>WR z zarządzaniem (WR+Z)</t>
  </si>
  <si>
    <t>Podatek dochodowy (skala lub liniówka)</t>
  </si>
  <si>
    <t>WR z zarządzaniem i pustostanem (WR+Z+P)</t>
  </si>
  <si>
    <t>łazienka z WC i oddzielne WC</t>
  </si>
  <si>
    <t>jedna łazienka razem z WC</t>
  </si>
  <si>
    <t>- pozostałe koszty z czynszu:</t>
  </si>
  <si>
    <t>Gaz</t>
  </si>
  <si>
    <t>średnia odsetek w 1 roku</t>
  </si>
  <si>
    <t>Roczna kwota zysku</t>
  </si>
  <si>
    <t>- gaz:</t>
  </si>
  <si>
    <t>Cena za m2</t>
  </si>
  <si>
    <t>Prowizja przy wynajmie pokoi</t>
  </si>
  <si>
    <t>Koszty zarządzania (miesięczne)</t>
  </si>
  <si>
    <t>Porównanie do płaskiej stawki =</t>
  </si>
  <si>
    <t>Pełny czynsz do spółdzielni/wspólnoty, w tym:</t>
  </si>
  <si>
    <t>D9</t>
  </si>
  <si>
    <t>D10</t>
  </si>
  <si>
    <t>G44</t>
  </si>
  <si>
    <t>G45</t>
  </si>
  <si>
    <t>Pierwotna liczba pokoi</t>
  </si>
  <si>
    <t>Pierwotny metraż pokoi</t>
  </si>
  <si>
    <t>stan pierwotny</t>
  </si>
  <si>
    <t>zmiany po remoncie</t>
  </si>
  <si>
    <t>kontakt@edukacjainwestowania.pl</t>
  </si>
  <si>
    <t>Łazienka + osobne wc</t>
  </si>
  <si>
    <t>realistycznie</t>
  </si>
  <si>
    <t>pesymistycznie</t>
  </si>
  <si>
    <t xml:space="preserve">Ryczałt </t>
  </si>
  <si>
    <t>Roczna kwota zysku - 1 rok</t>
  </si>
  <si>
    <t>Roczna kwota zysku - kolejne lata</t>
  </si>
  <si>
    <t>w wersji pesymistycznej szacujemy wynajem pokoi w cenie 3x970 zł i 2x1050 zł + opłaty za media</t>
  </si>
  <si>
    <t>w wersji realistycznej szacujemy wynajem pokoi w cenie 3x1050 zł i 2x1200 zł + opłaty za media</t>
  </si>
  <si>
    <t>Dodatkowe koszty w skali roku</t>
  </si>
  <si>
    <t>Analiza inwestycyjna mieszkania (7.1)</t>
  </si>
  <si>
    <t>Szablon Analiza inwestycyjna mieszkania (v7.1) - Copyright © Edukacja Inwestowania w Nieruchomości</t>
  </si>
  <si>
    <t>Kraków, Osiedle Szkolne 14/12</t>
  </si>
  <si>
    <t>3 z 4</t>
  </si>
  <si>
    <t>23 m2; 15 m2; 11 m2</t>
  </si>
  <si>
    <t>8 m2; 8 m2; 15 m2, 8 m2, 11 m2</t>
  </si>
  <si>
    <t>mieszkanie po remoncie - 5 pokoi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</si>
</sst>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164" formatCode="#,##0.00\ &quot;zł&quot;"/>
    <numFmt numFmtId="165" formatCode="0.0%"/>
    <numFmt numFmtId="166" formatCode="#,##0\ &quot;zł&quot;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u/>
      <sz val="14"/>
      <color theme="10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3"/>
      <color theme="1"/>
      <name val="Calibri"/>
      <family val="2"/>
      <charset val="238"/>
      <scheme val="minor"/>
    </font>
    <font>
      <u/>
      <sz val="13"/>
      <color theme="10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CF04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BF9B9"/>
        <bgColor indexed="64"/>
      </patternFill>
    </fill>
    <fill>
      <patternFill patternType="solid">
        <fgColor rgb="FFE0F6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870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3" borderId="0" xfId="0" applyFont="1" applyFill="1" applyProtection="1">
      <protection locked="0" hidden="1"/>
    </xf>
    <xf numFmtId="0" fontId="0" fillId="5" borderId="0" xfId="0" applyFill="1" applyProtection="1">
      <protection locked="0" hidden="1"/>
    </xf>
    <xf numFmtId="0" fontId="0" fillId="6" borderId="0" xfId="0" applyFill="1" applyProtection="1">
      <protection locked="0" hidden="1"/>
    </xf>
    <xf numFmtId="8" fontId="0" fillId="6" borderId="0" xfId="0" applyNumberFormat="1" applyFill="1" applyProtection="1">
      <protection locked="0" hidden="1"/>
    </xf>
    <xf numFmtId="0" fontId="0" fillId="3" borderId="0" xfId="0" applyFill="1" applyProtection="1">
      <protection locked="0" hidden="1"/>
    </xf>
    <xf numFmtId="0" fontId="0" fillId="7" borderId="3" xfId="0" applyFill="1" applyBorder="1" applyProtection="1">
      <protection hidden="1"/>
    </xf>
    <xf numFmtId="0" fontId="7" fillId="7" borderId="4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0" fillId="4" borderId="0" xfId="0" applyFill="1" applyProtection="1">
      <protection locked="0" hidden="1"/>
    </xf>
    <xf numFmtId="0" fontId="0" fillId="7" borderId="6" xfId="0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0" fillId="7" borderId="8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2" fontId="0" fillId="7" borderId="8" xfId="0" applyNumberFormat="1" applyFill="1" applyBorder="1" applyProtection="1">
      <protection hidden="1"/>
    </xf>
    <xf numFmtId="0" fontId="0" fillId="2" borderId="9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3" fillId="2" borderId="9" xfId="3" applyFont="1" applyFill="1" applyBorder="1" applyAlignment="1" applyProtection="1">
      <alignment horizontal="right" vertical="center"/>
      <protection hidden="1"/>
    </xf>
    <xf numFmtId="0" fontId="3" fillId="2" borderId="1" xfId="3" applyFont="1" applyFill="1" applyBorder="1" applyAlignment="1" applyProtection="1">
      <alignment horizontal="center" vertical="center"/>
      <protection hidden="1"/>
    </xf>
    <xf numFmtId="0" fontId="6" fillId="2" borderId="9" xfId="3" applyFont="1" applyFill="1" applyBorder="1" applyAlignment="1" applyProtection="1">
      <alignment horizontal="right" vertical="center"/>
      <protection hidden="1"/>
    </xf>
    <xf numFmtId="0" fontId="11" fillId="2" borderId="9" xfId="3" applyFont="1" applyFill="1" applyBorder="1" applyAlignment="1" applyProtection="1">
      <alignment horizontal="right" vertical="center"/>
      <protection hidden="1"/>
    </xf>
    <xf numFmtId="10" fontId="11" fillId="2" borderId="9" xfId="3" applyNumberFormat="1" applyFont="1" applyFill="1" applyBorder="1" applyAlignment="1" applyProtection="1">
      <alignment horizontal="right" vertical="center"/>
      <protection hidden="1"/>
    </xf>
    <xf numFmtId="164" fontId="11" fillId="2" borderId="9" xfId="3" applyNumberFormat="1" applyFont="1" applyFill="1" applyBorder="1" applyAlignment="1" applyProtection="1">
      <alignment horizontal="right" vertical="center"/>
      <protection hidden="1"/>
    </xf>
    <xf numFmtId="164" fontId="12" fillId="2" borderId="9" xfId="3" applyNumberFormat="1" applyFont="1" applyFill="1" applyBorder="1" applyAlignment="1" applyProtection="1">
      <alignment horizontal="right" vertical="center"/>
      <protection hidden="1"/>
    </xf>
    <xf numFmtId="0" fontId="7" fillId="2" borderId="9" xfId="3" applyFont="1" applyFill="1" applyBorder="1" applyAlignment="1" applyProtection="1">
      <alignment horizontal="right" vertical="center" wrapText="1"/>
      <protection hidden="1"/>
    </xf>
    <xf numFmtId="0" fontId="7" fillId="8" borderId="9" xfId="3" applyFont="1" applyFill="1" applyBorder="1" applyAlignment="1" applyProtection="1">
      <alignment horizontal="right" vertical="center"/>
      <protection hidden="1"/>
    </xf>
    <xf numFmtId="0" fontId="10" fillId="8" borderId="9" xfId="3" applyFont="1" applyFill="1" applyBorder="1" applyAlignment="1" applyProtection="1">
      <alignment horizontal="right" vertic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3" fillId="2" borderId="9" xfId="3" applyFont="1" applyFill="1" applyBorder="1" applyAlignment="1" applyProtection="1">
      <alignment horizontal="right" vertical="center" wrapText="1"/>
      <protection hidden="1"/>
    </xf>
    <xf numFmtId="0" fontId="0" fillId="11" borderId="0" xfId="0" applyFill="1" applyProtection="1">
      <protection locked="0" hidden="1"/>
    </xf>
    <xf numFmtId="0" fontId="0" fillId="2" borderId="3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7" borderId="0" xfId="0" applyFill="1" applyProtection="1">
      <protection hidden="1"/>
    </xf>
    <xf numFmtId="9" fontId="3" fillId="9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2" xfId="3" applyFont="1" applyFill="1" applyBorder="1" applyAlignment="1" applyProtection="1">
      <alignment horizontal="center" vertical="center"/>
      <protection hidden="1"/>
    </xf>
    <xf numFmtId="0" fontId="10" fillId="8" borderId="2" xfId="3" applyFont="1" applyFill="1" applyBorder="1" applyAlignment="1" applyProtection="1">
      <alignment horizontal="center" vertical="center"/>
      <protection hidden="1"/>
    </xf>
    <xf numFmtId="0" fontId="3" fillId="2" borderId="2" xfId="3" applyFont="1" applyFill="1" applyBorder="1" applyAlignment="1" applyProtection="1">
      <alignment horizontal="center" vertical="center" wrapText="1"/>
      <protection hidden="1"/>
    </xf>
    <xf numFmtId="0" fontId="10" fillId="2" borderId="2" xfId="3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2" borderId="9" xfId="3" applyFont="1" applyFill="1" applyBorder="1" applyAlignment="1" applyProtection="1">
      <alignment horizontal="right" vertical="center"/>
      <protection hidden="1"/>
    </xf>
    <xf numFmtId="0" fontId="3" fillId="2" borderId="3" xfId="3" applyFont="1" applyFill="1" applyBorder="1" applyAlignment="1" applyProtection="1">
      <alignment vertical="center" wrapText="1"/>
      <protection hidden="1"/>
    </xf>
    <xf numFmtId="166" fontId="3" fillId="0" borderId="2" xfId="3" applyNumberFormat="1" applyFont="1" applyBorder="1" applyAlignment="1" applyProtection="1">
      <alignment horizontal="left" vertical="center"/>
      <protection locked="0"/>
    </xf>
    <xf numFmtId="0" fontId="0" fillId="2" borderId="9" xfId="3" applyFont="1" applyFill="1" applyBorder="1" applyAlignment="1" applyProtection="1">
      <alignment horizontal="right" vertical="center" wrapText="1"/>
      <protection hidden="1"/>
    </xf>
    <xf numFmtId="0" fontId="0" fillId="2" borderId="4" xfId="3" applyFont="1" applyFill="1" applyBorder="1" applyAlignment="1" applyProtection="1">
      <alignment horizontal="right" vertical="center" wrapText="1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49" fontId="0" fillId="0" borderId="2" xfId="3" applyNumberFormat="1" applyFont="1" applyBorder="1" applyAlignment="1" applyProtection="1">
      <alignment horizontal="left" vertical="center"/>
      <protection locked="0"/>
    </xf>
    <xf numFmtId="0" fontId="3" fillId="0" borderId="2" xfId="3" applyFont="1" applyBorder="1" applyAlignment="1" applyProtection="1">
      <alignment horizontal="left" vertical="center"/>
      <protection locked="0"/>
    </xf>
    <xf numFmtId="0" fontId="0" fillId="0" borderId="2" xfId="3" applyFont="1" applyBorder="1" applyAlignment="1" applyProtection="1">
      <alignment horizontal="left" vertical="center"/>
      <protection locked="0"/>
    </xf>
    <xf numFmtId="166" fontId="3" fillId="2" borderId="2" xfId="3" applyNumberFormat="1" applyFont="1" applyFill="1" applyBorder="1" applyAlignment="1" applyProtection="1">
      <alignment horizontal="left" vertical="center"/>
      <protection hidden="1"/>
    </xf>
    <xf numFmtId="166" fontId="10" fillId="0" borderId="2" xfId="3" applyNumberFormat="1" applyFont="1" applyBorder="1" applyAlignment="1" applyProtection="1">
      <alignment horizontal="left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hidden="1"/>
    </xf>
    <xf numFmtId="10" fontId="11" fillId="2" borderId="1" xfId="3" applyNumberFormat="1" applyFont="1" applyFill="1" applyBorder="1" applyAlignment="1" applyProtection="1">
      <alignment horizontal="center" vertical="center"/>
      <protection hidden="1"/>
    </xf>
    <xf numFmtId="164" fontId="11" fillId="2" borderId="1" xfId="3" applyNumberFormat="1" applyFont="1" applyFill="1" applyBorder="1" applyAlignment="1" applyProtection="1">
      <alignment horizontal="center" vertical="center"/>
      <protection hidden="1"/>
    </xf>
    <xf numFmtId="164" fontId="12" fillId="2" borderId="1" xfId="3" applyNumberFormat="1" applyFont="1" applyFill="1" applyBorder="1" applyAlignment="1" applyProtection="1">
      <alignment horizontal="center" vertical="center"/>
      <protection hidden="1"/>
    </xf>
    <xf numFmtId="0" fontId="0" fillId="7" borderId="9" xfId="3" applyFont="1" applyFill="1" applyBorder="1" applyAlignment="1" applyProtection="1">
      <alignment horizontal="right" vertical="center"/>
      <protection hidden="1"/>
    </xf>
    <xf numFmtId="0" fontId="3" fillId="7" borderId="1" xfId="3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0" fillId="2" borderId="1" xfId="3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Protection="1">
      <protection hidden="1"/>
    </xf>
    <xf numFmtId="1" fontId="3" fillId="9" borderId="1" xfId="3" applyNumberFormat="1" applyFont="1" applyFill="1" applyBorder="1" applyAlignment="1" applyProtection="1">
      <alignment horizontal="right" vertical="center" wrapText="1"/>
      <protection locked="0"/>
    </xf>
    <xf numFmtId="1" fontId="7" fillId="2" borderId="2" xfId="3" applyNumberFormat="1" applyFont="1" applyFill="1" applyBorder="1" applyAlignment="1" applyProtection="1">
      <alignment horizontal="left" vertical="center"/>
      <protection hidden="1"/>
    </xf>
    <xf numFmtId="1" fontId="7" fillId="8" borderId="2" xfId="3" applyNumberFormat="1" applyFont="1" applyFill="1" applyBorder="1" applyAlignment="1" applyProtection="1">
      <alignment horizontal="left" vertical="center"/>
      <protection hidden="1"/>
    </xf>
    <xf numFmtId="0" fontId="0" fillId="0" borderId="8" xfId="0" applyBorder="1" applyProtection="1">
      <protection hidden="1"/>
    </xf>
    <xf numFmtId="10" fontId="11" fillId="0" borderId="2" xfId="3" applyNumberFormat="1" applyFont="1" applyBorder="1" applyAlignment="1" applyProtection="1">
      <alignment horizontal="left" vertical="center"/>
      <protection locked="0"/>
    </xf>
    <xf numFmtId="166" fontId="11" fillId="0" borderId="2" xfId="3" applyNumberFormat="1" applyFont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166" fontId="12" fillId="0" borderId="2" xfId="3" applyNumberFormat="1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hidden="1"/>
    </xf>
    <xf numFmtId="0" fontId="3" fillId="2" borderId="5" xfId="3" applyFont="1" applyFill="1" applyBorder="1" applyAlignment="1" applyProtection="1">
      <alignment vertical="center" wrapText="1"/>
      <protection hidden="1"/>
    </xf>
    <xf numFmtId="0" fontId="3" fillId="2" borderId="8" xfId="3" applyFont="1" applyFill="1" applyBorder="1" applyAlignment="1" applyProtection="1">
      <alignment vertical="center" wrapText="1"/>
      <protection hidden="1"/>
    </xf>
    <xf numFmtId="0" fontId="3" fillId="2" borderId="3" xfId="3" applyFont="1" applyFill="1" applyBorder="1" applyAlignment="1" applyProtection="1">
      <alignment horizontal="center" vertical="center" wrapText="1"/>
      <protection hidden="1"/>
    </xf>
    <xf numFmtId="0" fontId="10" fillId="2" borderId="9" xfId="3" applyFont="1" applyFill="1" applyBorder="1" applyAlignment="1" applyProtection="1">
      <alignment horizontal="right" vertical="center" wrapText="1"/>
      <protection hidden="1"/>
    </xf>
    <xf numFmtId="0" fontId="7" fillId="8" borderId="9" xfId="3" applyFont="1" applyFill="1" applyBorder="1" applyAlignment="1" applyProtection="1">
      <alignment horizontal="right" vertical="center" wrapText="1"/>
      <protection hidden="1"/>
    </xf>
    <xf numFmtId="0" fontId="7" fillId="8" borderId="2" xfId="3" applyFont="1" applyFill="1" applyBorder="1" applyAlignment="1" applyProtection="1">
      <alignment horizontal="center" vertical="center" wrapText="1"/>
      <protection hidden="1"/>
    </xf>
    <xf numFmtId="166" fontId="0" fillId="7" borderId="2" xfId="3" applyNumberFormat="1" applyFont="1" applyFill="1" applyBorder="1" applyAlignment="1" applyProtection="1">
      <alignment horizontal="left" vertical="center"/>
      <protection hidden="1"/>
    </xf>
    <xf numFmtId="0" fontId="0" fillId="7" borderId="8" xfId="5" applyNumberFormat="1" applyFont="1" applyFill="1" applyBorder="1" applyAlignment="1" applyProtection="1">
      <protection hidden="1"/>
    </xf>
    <xf numFmtId="0" fontId="0" fillId="12" borderId="2" xfId="0" applyFill="1" applyBorder="1" applyAlignment="1" applyProtection="1">
      <alignment horizontal="left" vertical="center"/>
      <protection locked="0"/>
    </xf>
    <xf numFmtId="0" fontId="3" fillId="2" borderId="3" xfId="3" applyFon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166" fontId="0" fillId="12" borderId="1" xfId="3" applyNumberFormat="1" applyFont="1" applyFill="1" applyBorder="1" applyAlignment="1" applyProtection="1">
      <alignment vertical="center"/>
      <protection locked="0"/>
    </xf>
    <xf numFmtId="166" fontId="3" fillId="0" borderId="10" xfId="3" applyNumberFormat="1" applyFont="1" applyBorder="1" applyAlignment="1" applyProtection="1">
      <alignment horizontal="center" vertical="center"/>
      <protection locked="0"/>
    </xf>
    <xf numFmtId="0" fontId="0" fillId="13" borderId="7" xfId="0" applyFill="1" applyBorder="1" applyProtection="1">
      <protection locked="0" hidden="1"/>
    </xf>
    <xf numFmtId="0" fontId="0" fillId="2" borderId="10" xfId="0" applyFill="1" applyBorder="1" applyAlignment="1" applyProtection="1">
      <alignment horizontal="center" vertical="center"/>
      <protection hidden="1"/>
    </xf>
    <xf numFmtId="166" fontId="0" fillId="12" borderId="2" xfId="3" applyNumberFormat="1" applyFont="1" applyFill="1" applyBorder="1" applyAlignment="1" applyProtection="1">
      <alignment vertical="center"/>
      <protection locked="0"/>
    </xf>
    <xf numFmtId="165" fontId="10" fillId="8" borderId="9" xfId="3" applyNumberFormat="1" applyFont="1" applyFill="1" applyBorder="1" applyAlignment="1" applyProtection="1">
      <alignment horizontal="right" vertical="center"/>
      <protection hidden="1"/>
    </xf>
    <xf numFmtId="0" fontId="10" fillId="8" borderId="9" xfId="3" applyFont="1" applyFill="1" applyBorder="1" applyAlignment="1" applyProtection="1">
      <alignment horizontal="right" vertical="center" wrapText="1"/>
      <protection hidden="1"/>
    </xf>
    <xf numFmtId="165" fontId="10" fillId="2" borderId="9" xfId="3" applyNumberFormat="1" applyFont="1" applyFill="1" applyBorder="1" applyAlignment="1" applyProtection="1">
      <alignment horizontal="right" vertical="center"/>
      <protection hidden="1"/>
    </xf>
    <xf numFmtId="0" fontId="10" fillId="2" borderId="9" xfId="3" applyFont="1" applyFill="1" applyBorder="1" applyAlignment="1" applyProtection="1">
      <alignment horizontal="right" vertical="center"/>
      <protection hidden="1"/>
    </xf>
    <xf numFmtId="0" fontId="10" fillId="2" borderId="1" xfId="3" applyFont="1" applyFill="1" applyBorder="1" applyAlignment="1" applyProtection="1">
      <alignment horizontal="center" vertical="center"/>
      <protection hidden="1"/>
    </xf>
    <xf numFmtId="0" fontId="10" fillId="2" borderId="1" xfId="3" applyFont="1" applyFill="1" applyBorder="1" applyAlignment="1" applyProtection="1">
      <alignment horizontal="left" vertical="center"/>
      <protection hidden="1"/>
    </xf>
    <xf numFmtId="0" fontId="15" fillId="2" borderId="9" xfId="3" applyFont="1" applyFill="1" applyBorder="1" applyAlignment="1" applyProtection="1">
      <alignment vertical="center"/>
      <protection hidden="1"/>
    </xf>
    <xf numFmtId="0" fontId="15" fillId="2" borderId="1" xfId="3" applyFont="1" applyFill="1" applyBorder="1" applyAlignment="1" applyProtection="1">
      <alignment vertical="center"/>
      <protection hidden="1"/>
    </xf>
    <xf numFmtId="0" fontId="0" fillId="8" borderId="9" xfId="3" applyFont="1" applyFill="1" applyBorder="1" applyAlignment="1" applyProtection="1">
      <alignment horizontal="right" vertical="center" wrapText="1"/>
      <protection hidden="1"/>
    </xf>
    <xf numFmtId="165" fontId="3" fillId="8" borderId="1" xfId="5" applyNumberFormat="1" applyFont="1" applyFill="1" applyBorder="1" applyAlignment="1" applyProtection="1">
      <alignment horizontal="left" vertical="center" wrapText="1"/>
      <protection hidden="1"/>
    </xf>
    <xf numFmtId="0" fontId="8" fillId="8" borderId="9" xfId="3" applyFont="1" applyFill="1" applyBorder="1" applyAlignment="1" applyProtection="1">
      <alignment horizontal="right" vertical="center" wrapText="1"/>
      <protection hidden="1"/>
    </xf>
    <xf numFmtId="0" fontId="8" fillId="8" borderId="1" xfId="3" applyFont="1" applyFill="1" applyBorder="1" applyAlignment="1" applyProtection="1">
      <alignment vertical="center" wrapText="1"/>
      <protection hidden="1"/>
    </xf>
    <xf numFmtId="0" fontId="0" fillId="8" borderId="2" xfId="3" applyFont="1" applyFill="1" applyBorder="1" applyAlignment="1" applyProtection="1">
      <alignment vertical="center" wrapText="1"/>
      <protection hidden="1"/>
    </xf>
    <xf numFmtId="0" fontId="3" fillId="8" borderId="1" xfId="3" applyFont="1" applyFill="1" applyBorder="1" applyAlignment="1" applyProtection="1">
      <alignment horizontal="center" vertical="center" wrapText="1"/>
      <protection hidden="1"/>
    </xf>
    <xf numFmtId="0" fontId="6" fillId="8" borderId="7" xfId="0" applyFont="1" applyFill="1" applyBorder="1" applyAlignment="1" applyProtection="1">
      <alignment horizontal="right" vertical="center" wrapText="1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166" fontId="10" fillId="8" borderId="8" xfId="0" applyNumberFormat="1" applyFont="1" applyFill="1" applyBorder="1" applyAlignment="1">
      <alignment horizontal="left" wrapText="1"/>
    </xf>
    <xf numFmtId="0" fontId="6" fillId="8" borderId="9" xfId="3" applyFont="1" applyFill="1" applyBorder="1" applyAlignment="1" applyProtection="1">
      <alignment horizontal="right" vertical="center"/>
      <protection hidden="1"/>
    </xf>
    <xf numFmtId="0" fontId="3" fillId="8" borderId="1" xfId="3" applyFont="1" applyFill="1" applyBorder="1" applyAlignment="1" applyProtection="1">
      <alignment horizontal="left" vertical="center"/>
      <protection hidden="1"/>
    </xf>
    <xf numFmtId="164" fontId="13" fillId="8" borderId="9" xfId="3" applyNumberFormat="1" applyFont="1" applyFill="1" applyBorder="1" applyAlignment="1" applyProtection="1">
      <alignment horizontal="right" vertical="center"/>
      <protection hidden="1"/>
    </xf>
    <xf numFmtId="164" fontId="13" fillId="8" borderId="1" xfId="3" applyNumberFormat="1" applyFont="1" applyFill="1" applyBorder="1" applyAlignment="1" applyProtection="1">
      <alignment horizontal="center" vertical="center"/>
      <protection hidden="1"/>
    </xf>
    <xf numFmtId="164" fontId="14" fillId="8" borderId="9" xfId="3" applyNumberFormat="1" applyFont="1" applyFill="1" applyBorder="1" applyAlignment="1" applyProtection="1">
      <alignment horizontal="right" vertical="center"/>
      <protection hidden="1"/>
    </xf>
    <xf numFmtId="164" fontId="14" fillId="8" borderId="1" xfId="3" applyNumberFormat="1" applyFont="1" applyFill="1" applyBorder="1" applyAlignment="1" applyProtection="1">
      <alignment horizontal="center" vertical="center"/>
      <protection hidden="1"/>
    </xf>
    <xf numFmtId="0" fontId="3" fillId="8" borderId="9" xfId="3" applyFont="1" applyFill="1" applyBorder="1" applyAlignment="1" applyProtection="1">
      <alignment horizontal="right" vertical="center" wrapText="1"/>
      <protection hidden="1"/>
    </xf>
    <xf numFmtId="0" fontId="10" fillId="8" borderId="1" xfId="3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 applyProtection="1">
      <alignment horizontal="center"/>
      <protection hidden="1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1" xfId="3" applyNumberFormat="1" applyFont="1" applyBorder="1" applyAlignment="1" applyProtection="1">
      <alignment horizontal="center" vertical="center"/>
      <protection locked="0"/>
    </xf>
    <xf numFmtId="0" fontId="10" fillId="8" borderId="1" xfId="3" applyFont="1" applyFill="1" applyBorder="1" applyAlignment="1" applyProtection="1">
      <alignment horizontal="center" vertical="center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166" fontId="3" fillId="8" borderId="10" xfId="3" applyNumberFormat="1" applyFont="1" applyFill="1" applyBorder="1" applyAlignment="1">
      <alignment vertical="center"/>
    </xf>
    <xf numFmtId="166" fontId="10" fillId="2" borderId="2" xfId="3" applyNumberFormat="1" applyFont="1" applyFill="1" applyBorder="1" applyAlignment="1">
      <alignment horizontal="left" vertical="center"/>
    </xf>
    <xf numFmtId="10" fontId="17" fillId="2" borderId="2" xfId="3" applyNumberFormat="1" applyFont="1" applyFill="1" applyBorder="1" applyAlignment="1">
      <alignment horizontal="left" vertical="center"/>
    </xf>
    <xf numFmtId="166" fontId="7" fillId="8" borderId="2" xfId="3" applyNumberFormat="1" applyFont="1" applyFill="1" applyBorder="1" applyAlignment="1">
      <alignment horizontal="left" vertical="center"/>
    </xf>
    <xf numFmtId="166" fontId="8" fillId="8" borderId="2" xfId="3" applyNumberFormat="1" applyFont="1" applyFill="1" applyBorder="1" applyAlignment="1">
      <alignment horizontal="left" vertical="center"/>
    </xf>
    <xf numFmtId="166" fontId="14" fillId="8" borderId="2" xfId="3" applyNumberFormat="1" applyFont="1" applyFill="1" applyBorder="1" applyAlignment="1">
      <alignment horizontal="left" vertical="center"/>
    </xf>
    <xf numFmtId="0" fontId="0" fillId="12" borderId="2" xfId="0" applyFill="1" applyBorder="1" applyAlignment="1" applyProtection="1">
      <alignment horizontal="left" vertical="center"/>
      <protection locked="0" hidden="1"/>
    </xf>
    <xf numFmtId="0" fontId="0" fillId="12" borderId="2" xfId="0" applyFill="1" applyBorder="1" applyAlignment="1" applyProtection="1">
      <alignment vertical="center"/>
      <protection locked="0" hidden="1"/>
    </xf>
    <xf numFmtId="166" fontId="0" fillId="13" borderId="7" xfId="3" applyNumberFormat="1" applyFont="1" applyFill="1" applyBorder="1" applyAlignment="1" applyProtection="1">
      <alignment vertical="center"/>
      <protection locked="0" hidden="1"/>
    </xf>
    <xf numFmtId="166" fontId="0" fillId="14" borderId="7" xfId="3" applyNumberFormat="1" applyFont="1" applyFill="1" applyBorder="1" applyAlignment="1" applyProtection="1">
      <alignment vertical="center"/>
      <protection locked="0" hidden="1"/>
    </xf>
    <xf numFmtId="0" fontId="3" fillId="12" borderId="9" xfId="3" applyFont="1" applyFill="1" applyBorder="1" applyAlignment="1" applyProtection="1">
      <alignment horizontal="right" vertical="center"/>
      <protection locked="0" hidden="1"/>
    </xf>
    <xf numFmtId="0" fontId="19" fillId="8" borderId="1" xfId="1" applyFont="1" applyFill="1" applyBorder="1" applyAlignment="1" applyProtection="1">
      <alignment horizontal="center" vertical="center"/>
      <protection hidden="1"/>
    </xf>
    <xf numFmtId="0" fontId="15" fillId="10" borderId="9" xfId="3" applyFont="1" applyFill="1" applyBorder="1" applyAlignment="1" applyProtection="1">
      <alignment horizontal="center" vertical="center"/>
      <protection hidden="1"/>
    </xf>
    <xf numFmtId="0" fontId="15" fillId="10" borderId="1" xfId="3" applyFont="1" applyFill="1" applyBorder="1" applyAlignment="1" applyProtection="1">
      <alignment horizontal="center" vertical="center"/>
      <protection hidden="1"/>
    </xf>
    <xf numFmtId="0" fontId="15" fillId="10" borderId="2" xfId="3" applyFont="1" applyFill="1" applyBorder="1" applyAlignment="1" applyProtection="1">
      <alignment horizontal="center" vertical="center"/>
      <protection hidden="1"/>
    </xf>
    <xf numFmtId="166" fontId="3" fillId="8" borderId="2" xfId="3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Protection="1">
      <protection hidden="1"/>
    </xf>
    <xf numFmtId="165" fontId="0" fillId="0" borderId="0" xfId="0" applyNumberFormat="1" applyProtection="1">
      <protection locked="0" hidden="1"/>
    </xf>
    <xf numFmtId="165" fontId="0" fillId="12" borderId="10" xfId="3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 hidden="1"/>
    </xf>
    <xf numFmtId="9" fontId="0" fillId="12" borderId="10" xfId="3" applyNumberFormat="1" applyFont="1" applyFill="1" applyBorder="1" applyAlignment="1" applyProtection="1">
      <alignment horizontal="center" vertical="center"/>
      <protection locked="0"/>
    </xf>
    <xf numFmtId="0" fontId="16" fillId="10" borderId="9" xfId="3" applyFont="1" applyFill="1" applyBorder="1" applyAlignment="1" applyProtection="1">
      <alignment horizontal="center" vertical="center"/>
      <protection hidden="1"/>
    </xf>
    <xf numFmtId="0" fontId="16" fillId="10" borderId="1" xfId="3" applyFont="1" applyFill="1" applyBorder="1" applyAlignment="1" applyProtection="1">
      <alignment horizontal="center" vertical="center"/>
      <protection hidden="1"/>
    </xf>
    <xf numFmtId="0" fontId="16" fillId="10" borderId="2" xfId="3" applyFont="1" applyFill="1" applyBorder="1" applyAlignment="1" applyProtection="1">
      <alignment horizontal="center" vertical="center"/>
      <protection hidden="1"/>
    </xf>
    <xf numFmtId="0" fontId="15" fillId="10" borderId="9" xfId="3" applyFont="1" applyFill="1" applyBorder="1" applyAlignment="1" applyProtection="1">
      <alignment horizontal="center" vertical="center"/>
      <protection hidden="1"/>
    </xf>
    <xf numFmtId="0" fontId="15" fillId="10" borderId="1" xfId="3" applyFont="1" applyFill="1" applyBorder="1" applyAlignment="1" applyProtection="1">
      <alignment horizontal="center" vertical="center"/>
      <protection hidden="1"/>
    </xf>
    <xf numFmtId="0" fontId="15" fillId="10" borderId="2" xfId="3" applyFont="1" applyFill="1" applyBorder="1" applyAlignment="1" applyProtection="1">
      <alignment horizontal="center" vertical="center"/>
      <protection hidden="1"/>
    </xf>
    <xf numFmtId="0" fontId="15" fillId="10" borderId="10" xfId="3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right" vertical="center" wrapText="1"/>
      <protection hidden="1"/>
    </xf>
    <xf numFmtId="0" fontId="13" fillId="2" borderId="2" xfId="0" applyFont="1" applyFill="1" applyBorder="1" applyAlignment="1" applyProtection="1">
      <alignment horizontal="right" vertical="center" wrapText="1"/>
      <protection hidden="1"/>
    </xf>
    <xf numFmtId="0" fontId="15" fillId="10" borderId="9" xfId="3" applyFont="1" applyFill="1" applyBorder="1" applyAlignment="1" applyProtection="1">
      <alignment horizontal="right" vertical="center"/>
      <protection hidden="1"/>
    </xf>
    <xf numFmtId="0" fontId="15" fillId="10" borderId="1" xfId="3" applyFont="1" applyFill="1" applyBorder="1" applyAlignment="1" applyProtection="1">
      <alignment horizontal="right" vertical="center"/>
      <protection hidden="1"/>
    </xf>
    <xf numFmtId="0" fontId="12" fillId="2" borderId="10" xfId="3" applyFont="1" applyFill="1" applyBorder="1" applyAlignment="1" applyProtection="1">
      <alignment horizontal="center" vertical="center"/>
      <protection hidden="1"/>
    </xf>
    <xf numFmtId="166" fontId="10" fillId="0" borderId="9" xfId="3" applyNumberFormat="1" applyFont="1" applyBorder="1" applyAlignment="1" applyProtection="1">
      <alignment horizontal="center" vertical="center"/>
      <protection locked="0"/>
    </xf>
    <xf numFmtId="166" fontId="10" fillId="0" borderId="2" xfId="3" applyNumberFormat="1" applyFont="1" applyBorder="1" applyAlignment="1" applyProtection="1">
      <alignment horizontal="center" vertical="center"/>
      <protection locked="0"/>
    </xf>
    <xf numFmtId="166" fontId="10" fillId="0" borderId="10" xfId="3" applyNumberFormat="1" applyFont="1" applyBorder="1" applyAlignment="1" applyProtection="1">
      <alignment horizontal="center" vertical="center"/>
      <protection locked="0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2" xfId="3" applyNumberFormat="1" applyFont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right" vertical="center"/>
      <protection hidden="1"/>
    </xf>
    <xf numFmtId="2" fontId="13" fillId="2" borderId="9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166" fontId="3" fillId="8" borderId="9" xfId="3" applyNumberFormat="1" applyFont="1" applyFill="1" applyBorder="1" applyAlignment="1">
      <alignment horizontal="center" vertical="center"/>
    </xf>
    <xf numFmtId="166" fontId="3" fillId="8" borderId="2" xfId="3" applyNumberFormat="1" applyFont="1" applyFill="1" applyBorder="1" applyAlignment="1">
      <alignment horizontal="center" vertical="center"/>
    </xf>
    <xf numFmtId="2" fontId="13" fillId="2" borderId="4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166" fontId="9" fillId="8" borderId="9" xfId="3" applyNumberFormat="1" applyFont="1" applyFill="1" applyBorder="1" applyAlignment="1">
      <alignment horizontal="center" vertical="center"/>
    </xf>
    <xf numFmtId="166" fontId="9" fillId="8" borderId="2" xfId="3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right" vertical="center" wrapText="1"/>
      <protection hidden="1"/>
    </xf>
    <xf numFmtId="0" fontId="0" fillId="2" borderId="7" xfId="0" applyFill="1" applyBorder="1" applyAlignment="1" applyProtection="1">
      <alignment horizontal="right" vertical="center" wrapText="1"/>
      <protection hidden="1"/>
    </xf>
    <xf numFmtId="0" fontId="0" fillId="2" borderId="11" xfId="0" applyFill="1" applyBorder="1" applyAlignment="1" applyProtection="1">
      <alignment horizontal="right" vertical="center" wrapText="1"/>
      <protection hidden="1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5" xfId="0" applyNumberFormat="1" applyFont="1" applyFill="1" applyBorder="1" applyAlignment="1">
      <alignment horizontal="center" vertical="center"/>
    </xf>
    <xf numFmtId="2" fontId="14" fillId="8" borderId="9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166" fontId="3" fillId="2" borderId="9" xfId="3" applyNumberFormat="1" applyFont="1" applyFill="1" applyBorder="1" applyAlignment="1">
      <alignment horizontal="center" vertical="center"/>
    </xf>
    <xf numFmtId="166" fontId="3" fillId="2" borderId="2" xfId="3" applyNumberFormat="1" applyFont="1" applyFill="1" applyBorder="1" applyAlignment="1">
      <alignment horizontal="center" vertical="center"/>
    </xf>
    <xf numFmtId="0" fontId="14" fillId="8" borderId="9" xfId="0" applyFont="1" applyFill="1" applyBorder="1" applyAlignment="1" applyProtection="1">
      <alignment horizontal="right" vertical="center" wrapText="1"/>
      <protection hidden="1"/>
    </xf>
    <xf numFmtId="0" fontId="14" fillId="8" borderId="2" xfId="0" applyFont="1" applyFill="1" applyBorder="1" applyAlignment="1" applyProtection="1">
      <alignment horizontal="right" vertical="center" wrapText="1"/>
      <protection hidden="1"/>
    </xf>
    <xf numFmtId="166" fontId="3" fillId="2" borderId="10" xfId="3" applyNumberFormat="1" applyFont="1" applyFill="1" applyBorder="1" applyAlignment="1">
      <alignment horizontal="center" vertical="center"/>
    </xf>
    <xf numFmtId="2" fontId="15" fillId="10" borderId="10" xfId="5" applyNumberFormat="1" applyFont="1" applyFill="1" applyBorder="1" applyAlignment="1" applyProtection="1">
      <alignment horizontal="center" vertical="center"/>
    </xf>
    <xf numFmtId="0" fontId="3" fillId="2" borderId="4" xfId="3" applyFont="1" applyFill="1" applyBorder="1" applyAlignment="1" applyProtection="1">
      <alignment horizontal="right" vertical="center" wrapText="1"/>
      <protection hidden="1"/>
    </xf>
    <xf numFmtId="0" fontId="3" fillId="2" borderId="7" xfId="3" applyFont="1" applyFill="1" applyBorder="1" applyAlignment="1" applyProtection="1">
      <alignment horizontal="right" vertical="center" wrapText="1"/>
      <protection hidden="1"/>
    </xf>
    <xf numFmtId="0" fontId="3" fillId="2" borderId="11" xfId="3" applyFont="1" applyFill="1" applyBorder="1" applyAlignment="1" applyProtection="1">
      <alignment horizontal="right" vertical="center" wrapText="1"/>
      <protection hidden="1"/>
    </xf>
    <xf numFmtId="164" fontId="0" fillId="0" borderId="4" xfId="3" applyNumberFormat="1" applyFont="1" applyBorder="1" applyAlignment="1" applyProtection="1">
      <alignment horizontal="center" vertical="center" wrapText="1"/>
      <protection locked="0"/>
    </xf>
    <xf numFmtId="164" fontId="0" fillId="0" borderId="5" xfId="3" applyNumberFormat="1" applyFont="1" applyBorder="1" applyAlignment="1" applyProtection="1">
      <alignment horizontal="center" vertical="center" wrapText="1"/>
      <protection locked="0"/>
    </xf>
    <xf numFmtId="164" fontId="0" fillId="0" borderId="7" xfId="3" applyNumberFormat="1" applyFont="1" applyBorder="1" applyAlignment="1" applyProtection="1">
      <alignment horizontal="center" vertical="center" wrapText="1"/>
      <protection locked="0"/>
    </xf>
    <xf numFmtId="164" fontId="0" fillId="0" borderId="8" xfId="3" applyNumberFormat="1" applyFont="1" applyBorder="1" applyAlignment="1" applyProtection="1">
      <alignment horizontal="center" vertical="center" wrapText="1"/>
      <protection locked="0"/>
    </xf>
    <xf numFmtId="164" fontId="0" fillId="0" borderId="11" xfId="3" applyNumberFormat="1" applyFont="1" applyBorder="1" applyAlignment="1" applyProtection="1">
      <alignment horizontal="center" vertical="center" wrapText="1"/>
      <protection locked="0"/>
    </xf>
    <xf numFmtId="164" fontId="0" fillId="0" borderId="13" xfId="3" applyNumberFormat="1" applyFont="1" applyBorder="1" applyAlignment="1" applyProtection="1">
      <alignment horizontal="center" vertical="center" wrapText="1"/>
      <protection locked="0"/>
    </xf>
    <xf numFmtId="166" fontId="3" fillId="0" borderId="1" xfId="3" applyNumberFormat="1" applyFont="1" applyBorder="1" applyAlignment="1" applyProtection="1">
      <alignment horizontal="center" vertical="center"/>
      <protection locked="0"/>
    </xf>
    <xf numFmtId="2" fontId="15" fillId="10" borderId="9" xfId="5" applyNumberFormat="1" applyFont="1" applyFill="1" applyBorder="1" applyAlignment="1" applyProtection="1">
      <alignment horizontal="center" vertical="center"/>
    </xf>
    <xf numFmtId="2" fontId="15" fillId="10" borderId="2" xfId="5" applyNumberFormat="1" applyFont="1" applyFill="1" applyBorder="1" applyAlignment="1" applyProtection="1">
      <alignment horizontal="center" vertical="center"/>
    </xf>
    <xf numFmtId="166" fontId="0" fillId="8" borderId="10" xfId="3" applyNumberFormat="1" applyFont="1" applyFill="1" applyBorder="1" applyAlignment="1" applyProtection="1">
      <alignment horizontal="center" vertical="center" wrapText="1"/>
      <protection hidden="1"/>
    </xf>
    <xf numFmtId="166" fontId="8" fillId="8" borderId="10" xfId="0" applyNumberFormat="1" applyFont="1" applyFill="1" applyBorder="1" applyAlignment="1">
      <alignment horizontal="right"/>
    </xf>
    <xf numFmtId="0" fontId="0" fillId="2" borderId="9" xfId="3" applyFont="1" applyFill="1" applyBorder="1" applyAlignment="1" applyProtection="1">
      <alignment horizontal="center" vertical="center" wrapText="1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0" fontId="0" fillId="2" borderId="9" xfId="3" quotePrefix="1" applyFont="1" applyFill="1" applyBorder="1" applyAlignment="1" applyProtection="1">
      <alignment horizontal="left" vertical="center" wrapText="1"/>
      <protection hidden="1"/>
    </xf>
    <xf numFmtId="0" fontId="0" fillId="2" borderId="1" xfId="3" quotePrefix="1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166" fontId="3" fillId="7" borderId="9" xfId="3" applyNumberFormat="1" applyFont="1" applyFill="1" applyBorder="1" applyAlignment="1">
      <alignment horizontal="center" vertical="center"/>
    </xf>
    <xf numFmtId="166" fontId="3" fillId="7" borderId="1" xfId="3" applyNumberFormat="1" applyFont="1" applyFill="1" applyBorder="1" applyAlignment="1">
      <alignment horizontal="center" vertical="center"/>
    </xf>
    <xf numFmtId="0" fontId="23" fillId="8" borderId="1" xfId="1" applyFont="1" applyFill="1" applyBorder="1" applyAlignment="1" applyProtection="1">
      <alignment horizontal="center" vertical="center"/>
    </xf>
    <xf numFmtId="0" fontId="12" fillId="8" borderId="9" xfId="3" applyFont="1" applyFill="1" applyBorder="1" applyAlignment="1" applyProtection="1">
      <alignment horizontal="right" vertical="center"/>
      <protection hidden="1"/>
    </xf>
    <xf numFmtId="0" fontId="12" fillId="8" borderId="1" xfId="3" applyFont="1" applyFill="1" applyBorder="1" applyAlignment="1" applyProtection="1">
      <alignment horizontal="right" vertical="center"/>
      <protection hidden="1"/>
    </xf>
    <xf numFmtId="166" fontId="7" fillId="2" borderId="9" xfId="3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0" fontId="22" fillId="8" borderId="1" xfId="3" applyFont="1" applyFill="1" applyBorder="1" applyAlignment="1" applyProtection="1">
      <alignment horizontal="center" vertical="center"/>
      <protection hidden="1"/>
    </xf>
    <xf numFmtId="166" fontId="9" fillId="2" borderId="9" xfId="3" applyNumberFormat="1" applyFont="1" applyFill="1" applyBorder="1" applyAlignment="1">
      <alignment horizontal="center" vertical="center"/>
    </xf>
    <xf numFmtId="166" fontId="9" fillId="2" borderId="2" xfId="3" applyNumberFormat="1" applyFont="1" applyFill="1" applyBorder="1" applyAlignment="1">
      <alignment horizontal="center" vertical="center"/>
    </xf>
    <xf numFmtId="166" fontId="13" fillId="8" borderId="9" xfId="3" applyNumberFormat="1" applyFont="1" applyFill="1" applyBorder="1" applyAlignment="1">
      <alignment horizontal="center" vertical="center"/>
    </xf>
    <xf numFmtId="166" fontId="13" fillId="8" borderId="2" xfId="3" applyNumberFormat="1" applyFont="1" applyFill="1" applyBorder="1" applyAlignment="1">
      <alignment horizontal="center" vertical="center"/>
    </xf>
    <xf numFmtId="166" fontId="13" fillId="8" borderId="10" xfId="3" applyNumberFormat="1" applyFont="1" applyFill="1" applyBorder="1" applyAlignment="1">
      <alignment horizontal="center" vertical="center"/>
    </xf>
    <xf numFmtId="166" fontId="7" fillId="8" borderId="9" xfId="3" applyNumberFormat="1" applyFont="1" applyFill="1" applyBorder="1" applyAlignment="1">
      <alignment horizontal="center" vertical="center"/>
    </xf>
    <xf numFmtId="166" fontId="7" fillId="8" borderId="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 applyProtection="1">
      <alignment horizontal="center" vertical="center"/>
      <protection hidden="1"/>
    </xf>
    <xf numFmtId="0" fontId="12" fillId="2" borderId="1" xfId="3" applyFont="1" applyFill="1" applyBorder="1" applyAlignment="1" applyProtection="1">
      <alignment horizontal="center" vertical="center"/>
      <protection hidden="1"/>
    </xf>
    <xf numFmtId="0" fontId="12" fillId="2" borderId="2" xfId="3" applyFont="1" applyFill="1" applyBorder="1" applyAlignment="1" applyProtection="1">
      <alignment horizontal="center" vertical="center"/>
      <protection hidden="1"/>
    </xf>
    <xf numFmtId="166" fontId="13" fillId="2" borderId="9" xfId="3" applyNumberFormat="1" applyFont="1" applyFill="1" applyBorder="1" applyAlignment="1">
      <alignment horizontal="center" vertical="center"/>
    </xf>
    <xf numFmtId="166" fontId="13" fillId="2" borderId="2" xfId="3" applyNumberFormat="1" applyFont="1" applyFill="1" applyBorder="1" applyAlignment="1">
      <alignment horizontal="center" vertical="center"/>
    </xf>
  </cellXfs>
  <cellStyles count="6">
    <cellStyle name="Hiperłącze" xfId="1" builtinId="8"/>
    <cellStyle name="Normal_NPV-IRR Uneven CF's NM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Procentowy" xfId="5" builtinId="5"/>
  </cellStyles>
  <dxfs count="0"/>
  <tableStyles count="0" defaultTableStyle="TableStyleMedium2" defaultPivotStyle="PivotStyleLight16"/>
  <colors>
    <mruColors>
      <color rgb="FFE0F68E"/>
      <color rgb="FFEBF9B9"/>
      <color rgb="FFCCF04A"/>
      <color rgb="FF6C870B"/>
      <color rgb="FF82A20E"/>
      <color rgb="FFA8D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ntakt@edukacjainwestowania.p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61"/>
  <sheetViews>
    <sheetView tabSelected="1" topLeftCell="B19" zoomScaleNormal="100" workbookViewId="0">
      <selection activeCell="H31" sqref="H31"/>
    </sheetView>
  </sheetViews>
  <sheetFormatPr defaultColWidth="0" defaultRowHeight="14.4" zeroHeight="1"/>
  <cols>
    <col min="1" max="1" width="1.6640625" style="1" customWidth="1"/>
    <col min="2" max="2" width="36.109375" style="2" customWidth="1"/>
    <col min="3" max="3" width="2.77734375" style="4" customWidth="1"/>
    <col min="4" max="4" width="50.6640625" style="3" customWidth="1"/>
    <col min="5" max="5" width="3.109375" style="1" customWidth="1"/>
    <col min="6" max="6" width="40" style="1" customWidth="1"/>
    <col min="7" max="7" width="6.33203125" style="1" customWidth="1"/>
    <col min="8" max="8" width="15.6640625" style="1" customWidth="1"/>
    <col min="9" max="9" width="12.77734375" style="1" customWidth="1"/>
    <col min="10" max="10" width="16.44140625" style="1" customWidth="1"/>
    <col min="11" max="11" width="12.109375" style="1" customWidth="1"/>
    <col min="12" max="12" width="3.109375" style="72" customWidth="1"/>
    <col min="13" max="13" width="10.77734375" style="6" hidden="1"/>
    <col min="14" max="16383" width="10.77734375" style="1" hidden="1"/>
    <col min="16384" max="16384" width="2.44140625" style="1" hidden="1"/>
  </cols>
  <sheetData>
    <row r="1" spans="1:13" ht="25.8">
      <c r="A1" s="146" t="s">
        <v>107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3" ht="9" customHeight="1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</row>
    <row r="3" spans="1:13" ht="18" customHeight="1">
      <c r="A3" s="17"/>
      <c r="B3" s="149" t="s">
        <v>41</v>
      </c>
      <c r="C3" s="150"/>
      <c r="D3" s="151"/>
      <c r="E3" s="41"/>
      <c r="F3" s="152" t="s">
        <v>67</v>
      </c>
      <c r="G3" s="152"/>
      <c r="H3" s="152"/>
      <c r="I3" s="152"/>
      <c r="J3" s="152"/>
      <c r="K3" s="152"/>
      <c r="L3" s="19"/>
      <c r="M3" s="11" t="s">
        <v>35</v>
      </c>
    </row>
    <row r="4" spans="1:13" ht="18" customHeight="1">
      <c r="A4" s="17"/>
      <c r="B4" s="22" t="s">
        <v>3</v>
      </c>
      <c r="C4" s="23"/>
      <c r="D4" s="54" t="s">
        <v>109</v>
      </c>
      <c r="E4" s="41"/>
      <c r="F4" s="53"/>
      <c r="G4" s="81"/>
      <c r="H4" s="93" t="s">
        <v>71</v>
      </c>
      <c r="I4" s="206" t="s">
        <v>72</v>
      </c>
      <c r="J4" s="207"/>
      <c r="K4" s="200" t="s">
        <v>48</v>
      </c>
      <c r="L4" s="19"/>
      <c r="M4" s="11" t="s">
        <v>36</v>
      </c>
    </row>
    <row r="5" spans="1:13" ht="18" customHeight="1">
      <c r="A5" s="17"/>
      <c r="B5" s="22" t="s">
        <v>7</v>
      </c>
      <c r="C5" s="23"/>
      <c r="D5" s="87" t="s">
        <v>23</v>
      </c>
      <c r="E5" s="41"/>
      <c r="F5" s="202" t="s">
        <v>88</v>
      </c>
      <c r="G5" s="203"/>
      <c r="H5" s="91">
        <f>99.92+472.38+144.54</f>
        <v>716.83999999999992</v>
      </c>
      <c r="I5" s="208"/>
      <c r="J5" s="209"/>
      <c r="K5" s="200"/>
      <c r="L5" s="21"/>
      <c r="M5" s="7" t="s">
        <v>23</v>
      </c>
    </row>
    <row r="6" spans="1:13" ht="18" customHeight="1">
      <c r="A6" s="17"/>
      <c r="B6" s="24" t="s">
        <v>1</v>
      </c>
      <c r="C6" s="25"/>
      <c r="D6" s="55" t="s">
        <v>110</v>
      </c>
      <c r="E6" s="41"/>
      <c r="F6" s="204" t="s">
        <v>52</v>
      </c>
      <c r="G6" s="205"/>
      <c r="H6" s="91">
        <v>12.77</v>
      </c>
      <c r="I6" s="122">
        <f>5*40</f>
        <v>200</v>
      </c>
      <c r="J6" s="90" t="s">
        <v>50</v>
      </c>
      <c r="K6" s="125">
        <f t="shared" ref="K6:K13" si="0">IF(J6=$M$26,0,I6)</f>
        <v>200</v>
      </c>
      <c r="L6" s="21"/>
      <c r="M6" s="11" t="s">
        <v>12</v>
      </c>
    </row>
    <row r="7" spans="1:13" ht="18" customHeight="1">
      <c r="A7" s="17"/>
      <c r="B7" s="49" t="s">
        <v>61</v>
      </c>
      <c r="C7" s="25"/>
      <c r="D7" s="87" t="s">
        <v>29</v>
      </c>
      <c r="E7" s="41"/>
      <c r="F7" s="204" t="s">
        <v>53</v>
      </c>
      <c r="G7" s="205"/>
      <c r="H7" s="91">
        <v>459.61</v>
      </c>
      <c r="I7" s="122">
        <v>350</v>
      </c>
      <c r="J7" s="90" t="str">
        <f>J6</f>
        <v>płaci właściciel</v>
      </c>
      <c r="K7" s="125">
        <f t="shared" si="0"/>
        <v>350</v>
      </c>
      <c r="L7" s="21"/>
      <c r="M7" s="7">
        <f>IF(D5=M6,3,IF(D5=M5,2,1))</f>
        <v>2</v>
      </c>
    </row>
    <row r="8" spans="1:13" ht="18" customHeight="1">
      <c r="A8" s="17"/>
      <c r="B8" s="36" t="s">
        <v>0</v>
      </c>
      <c r="C8" s="25"/>
      <c r="D8" s="54">
        <v>66.61</v>
      </c>
      <c r="E8" s="41"/>
      <c r="F8" s="204" t="s">
        <v>54</v>
      </c>
      <c r="G8" s="205"/>
      <c r="H8" s="91">
        <v>0</v>
      </c>
      <c r="I8" s="122">
        <f>D15*27</f>
        <v>135</v>
      </c>
      <c r="J8" s="90" t="str">
        <f>J6</f>
        <v>płaci właściciel</v>
      </c>
      <c r="K8" s="125">
        <f t="shared" si="0"/>
        <v>135</v>
      </c>
      <c r="L8" s="21"/>
      <c r="M8" s="16" t="s">
        <v>9</v>
      </c>
    </row>
    <row r="9" spans="1:13" ht="18" customHeight="1">
      <c r="A9" s="17"/>
      <c r="B9" s="53" t="s">
        <v>62</v>
      </c>
      <c r="C9" s="78"/>
      <c r="D9" s="131" t="s">
        <v>66</v>
      </c>
      <c r="E9" s="41"/>
      <c r="F9" s="204" t="s">
        <v>83</v>
      </c>
      <c r="G9" s="205"/>
      <c r="H9" s="91"/>
      <c r="I9" s="122">
        <v>0</v>
      </c>
      <c r="J9" s="90" t="str">
        <f>J6</f>
        <v>płaci właściciel</v>
      </c>
      <c r="K9" s="125">
        <f t="shared" si="0"/>
        <v>0</v>
      </c>
      <c r="L9" s="21"/>
      <c r="M9" s="16" t="s">
        <v>10</v>
      </c>
    </row>
    <row r="10" spans="1:13" ht="18" customHeight="1">
      <c r="A10" s="17"/>
      <c r="B10" s="53" t="s">
        <v>63</v>
      </c>
      <c r="C10" s="88"/>
      <c r="D10" s="132" t="str">
        <f>IF(M11&gt;1,M24,M22)</f>
        <v>nie dotyczy</v>
      </c>
      <c r="E10" s="41"/>
      <c r="F10" s="204" t="s">
        <v>79</v>
      </c>
      <c r="G10" s="205"/>
      <c r="H10" s="210">
        <f>H5-SUM(H6:H9)</f>
        <v>244.45999999999992</v>
      </c>
      <c r="I10" s="211"/>
      <c r="J10" s="94" t="str">
        <f>J6</f>
        <v>płaci właściciel</v>
      </c>
      <c r="K10" s="125">
        <f>IF(J10=$M$26,0,H10)</f>
        <v>244.45999999999992</v>
      </c>
      <c r="L10" s="21"/>
      <c r="M10" s="16" t="s">
        <v>29</v>
      </c>
    </row>
    <row r="11" spans="1:13" ht="18" customHeight="1">
      <c r="A11" s="17"/>
      <c r="B11" s="49" t="s">
        <v>93</v>
      </c>
      <c r="C11" s="25"/>
      <c r="D11" s="56">
        <v>3</v>
      </c>
      <c r="E11" s="41"/>
      <c r="F11" s="103" t="s">
        <v>80</v>
      </c>
      <c r="G11" s="107"/>
      <c r="H11" s="91"/>
      <c r="I11" s="121">
        <v>0</v>
      </c>
      <c r="J11" s="94" t="str">
        <f>J6</f>
        <v>płaci właściciel</v>
      </c>
      <c r="K11" s="125">
        <f t="shared" si="0"/>
        <v>0</v>
      </c>
      <c r="L11" s="21"/>
      <c r="M11" s="16">
        <f>IF(D7=M10,3,1)</f>
        <v>3</v>
      </c>
    </row>
    <row r="12" spans="1:13" ht="18" customHeight="1">
      <c r="A12" s="18"/>
      <c r="B12" s="49" t="s">
        <v>94</v>
      </c>
      <c r="C12" s="25"/>
      <c r="D12" s="57" t="s">
        <v>111</v>
      </c>
      <c r="E12" s="41"/>
      <c r="F12" s="103" t="s">
        <v>51</v>
      </c>
      <c r="G12" s="108"/>
      <c r="H12" s="91"/>
      <c r="I12" s="121">
        <v>120</v>
      </c>
      <c r="J12" s="94" t="str">
        <f>J6</f>
        <v>płaci właściciel</v>
      </c>
      <c r="K12" s="125">
        <f t="shared" si="0"/>
        <v>120</v>
      </c>
      <c r="L12" s="21"/>
      <c r="M12" s="8" t="s">
        <v>11</v>
      </c>
    </row>
    <row r="13" spans="1:13" ht="18" customHeight="1">
      <c r="A13" s="17"/>
      <c r="B13" s="64" t="s">
        <v>38</v>
      </c>
      <c r="C13" s="65"/>
      <c r="D13" s="56">
        <v>5</v>
      </c>
      <c r="E13" s="41"/>
      <c r="F13" s="103" t="s">
        <v>43</v>
      </c>
      <c r="G13" s="108"/>
      <c r="H13" s="91"/>
      <c r="I13" s="121">
        <v>60</v>
      </c>
      <c r="J13" s="94" t="str">
        <f>J6</f>
        <v>płaci właściciel</v>
      </c>
      <c r="K13" s="125">
        <f t="shared" si="0"/>
        <v>60</v>
      </c>
      <c r="L13" s="21"/>
      <c r="M13" s="8" t="s">
        <v>77</v>
      </c>
    </row>
    <row r="14" spans="1:13" ht="18" customHeight="1">
      <c r="A14" s="17"/>
      <c r="B14" s="64" t="s">
        <v>39</v>
      </c>
      <c r="C14" s="65"/>
      <c r="D14" s="57" t="s">
        <v>112</v>
      </c>
      <c r="E14" s="41"/>
      <c r="F14" s="105" t="s">
        <v>49</v>
      </c>
      <c r="G14" s="106"/>
      <c r="H14" s="201">
        <f>SUM(K6:K13)</f>
        <v>1109.46</v>
      </c>
      <c r="I14" s="201"/>
      <c r="J14" s="201"/>
      <c r="K14" s="201"/>
      <c r="L14" s="21"/>
      <c r="M14" s="8" t="s">
        <v>78</v>
      </c>
    </row>
    <row r="15" spans="1:13" ht="18" customHeight="1">
      <c r="A15" s="17"/>
      <c r="B15" s="64" t="s">
        <v>58</v>
      </c>
      <c r="C15" s="65"/>
      <c r="D15" s="57">
        <v>5</v>
      </c>
      <c r="E15" s="41"/>
      <c r="F15" s="12"/>
      <c r="G15" s="12"/>
      <c r="H15" s="12"/>
      <c r="I15" s="12"/>
      <c r="J15" s="12"/>
      <c r="K15" s="12"/>
      <c r="L15" s="21"/>
      <c r="M15" s="8" t="s">
        <v>34</v>
      </c>
    </row>
    <row r="16" spans="1:13" ht="18" customHeight="1">
      <c r="A16" s="17"/>
      <c r="B16" s="24" t="s">
        <v>30</v>
      </c>
      <c r="C16" s="25"/>
      <c r="D16" s="57" t="s">
        <v>98</v>
      </c>
      <c r="E16" s="41"/>
      <c r="F16" s="149" t="s">
        <v>68</v>
      </c>
      <c r="G16" s="150"/>
      <c r="H16" s="150"/>
      <c r="I16" s="150"/>
      <c r="J16" s="150"/>
      <c r="K16" s="151"/>
      <c r="L16" s="34"/>
      <c r="M16" s="8">
        <v>1</v>
      </c>
    </row>
    <row r="17" spans="1:14" ht="18" customHeight="1">
      <c r="A17" s="17"/>
      <c r="B17" s="175" t="s">
        <v>26</v>
      </c>
      <c r="C17" s="38"/>
      <c r="D17" s="89" t="s">
        <v>95</v>
      </c>
      <c r="E17" s="41"/>
      <c r="F17" s="101"/>
      <c r="G17" s="102"/>
      <c r="H17" s="159" t="s">
        <v>100</v>
      </c>
      <c r="I17" s="159"/>
      <c r="J17" s="159" t="s">
        <v>99</v>
      </c>
      <c r="K17" s="159"/>
      <c r="L17" s="21"/>
      <c r="M17" s="9" t="s">
        <v>81</v>
      </c>
    </row>
    <row r="18" spans="1:14" ht="18" customHeight="1">
      <c r="A18" s="17"/>
      <c r="B18" s="176"/>
      <c r="C18" s="39"/>
      <c r="D18" s="153" t="s">
        <v>113</v>
      </c>
      <c r="E18" s="18"/>
      <c r="F18" s="82" t="s">
        <v>56</v>
      </c>
      <c r="G18" s="67"/>
      <c r="H18" s="160">
        <f>890+950+950+1250+1110</f>
        <v>5150</v>
      </c>
      <c r="I18" s="161"/>
      <c r="J18" s="162">
        <f>3*950+1170+1250</f>
        <v>5270</v>
      </c>
      <c r="K18" s="162"/>
      <c r="L18" s="21"/>
      <c r="M18" s="10">
        <f>ABS(IPMT(D43/12,1,D40*12,D45)+IPMT(D43/12,12,D40*12,D45))/2</f>
        <v>0</v>
      </c>
    </row>
    <row r="19" spans="1:14" ht="18" customHeight="1">
      <c r="A19" s="17"/>
      <c r="B19" s="176"/>
      <c r="C19" s="39"/>
      <c r="D19" s="154"/>
      <c r="E19" s="18"/>
      <c r="F19" s="118" t="s">
        <v>59</v>
      </c>
      <c r="G19" s="119"/>
      <c r="H19" s="163">
        <v>290</v>
      </c>
      <c r="I19" s="164"/>
      <c r="J19" s="163">
        <f>H19</f>
        <v>290</v>
      </c>
      <c r="K19" s="164"/>
      <c r="L19" s="86"/>
      <c r="M19" s="11" t="s">
        <v>25</v>
      </c>
    </row>
    <row r="20" spans="1:14" ht="18" customHeight="1">
      <c r="A20" s="18"/>
      <c r="B20" s="176"/>
      <c r="C20" s="39"/>
      <c r="D20" s="66" t="s">
        <v>96</v>
      </c>
      <c r="E20" s="18"/>
      <c r="F20" s="83" t="s">
        <v>57</v>
      </c>
      <c r="G20" s="119"/>
      <c r="H20" s="169">
        <f>H19*$D$15</f>
        <v>1450</v>
      </c>
      <c r="I20" s="170"/>
      <c r="J20" s="169">
        <f>J19*$D$15</f>
        <v>1450</v>
      </c>
      <c r="K20" s="170"/>
      <c r="L20" s="21"/>
      <c r="M20" s="11" t="s">
        <v>24</v>
      </c>
    </row>
    <row r="21" spans="1:14" ht="18" customHeight="1">
      <c r="A21" s="18"/>
      <c r="B21" s="176"/>
      <c r="C21" s="39"/>
      <c r="D21" s="153"/>
      <c r="E21" s="18"/>
      <c r="F21" s="52" t="s">
        <v>86</v>
      </c>
      <c r="G21" s="42">
        <v>0</v>
      </c>
      <c r="H21" s="182">
        <f>H18*G21</f>
        <v>0</v>
      </c>
      <c r="I21" s="183"/>
      <c r="J21" s="186">
        <f>J18*G21</f>
        <v>0</v>
      </c>
      <c r="K21" s="186"/>
      <c r="L21" s="21"/>
      <c r="M21" s="11">
        <f>IF(B29=M19,1,2)</f>
        <v>1</v>
      </c>
    </row>
    <row r="22" spans="1:14" ht="18" customHeight="1">
      <c r="A22" s="17"/>
      <c r="B22" s="176"/>
      <c r="C22" s="39"/>
      <c r="D22" s="153"/>
      <c r="E22" s="41"/>
      <c r="F22" s="52" t="s">
        <v>85</v>
      </c>
      <c r="G22" s="42">
        <v>0</v>
      </c>
      <c r="H22" s="182">
        <f>H18*G22</f>
        <v>0</v>
      </c>
      <c r="I22" s="183"/>
      <c r="J22" s="182">
        <f>J18*G22</f>
        <v>0</v>
      </c>
      <c r="K22" s="183"/>
      <c r="L22" s="21"/>
      <c r="M22" s="37" t="s">
        <v>64</v>
      </c>
    </row>
    <row r="23" spans="1:14" ht="18" customHeight="1">
      <c r="A23" s="18"/>
      <c r="B23" s="176"/>
      <c r="C23" s="39"/>
      <c r="D23" s="153"/>
      <c r="E23" s="19"/>
      <c r="F23" s="103" t="s">
        <v>87</v>
      </c>
      <c r="G23" s="104">
        <f>(G21*12+G22)/12</f>
        <v>0</v>
      </c>
      <c r="H23" s="169">
        <f>H18*$G$23</f>
        <v>0</v>
      </c>
      <c r="I23" s="170"/>
      <c r="J23" s="169">
        <f>J18*$G$23</f>
        <v>0</v>
      </c>
      <c r="K23" s="170"/>
      <c r="L23" s="21"/>
      <c r="M23" s="37" t="s">
        <v>65</v>
      </c>
    </row>
    <row r="24" spans="1:14" ht="18" customHeight="1">
      <c r="A24" s="17"/>
      <c r="B24" s="177"/>
      <c r="C24" s="40"/>
      <c r="D24" s="154"/>
      <c r="E24" s="17"/>
      <c r="F24" s="53" t="s">
        <v>106</v>
      </c>
      <c r="G24" s="50"/>
      <c r="H24" s="163">
        <v>250</v>
      </c>
      <c r="I24" s="197"/>
      <c r="J24" s="197"/>
      <c r="K24" s="164"/>
      <c r="L24" s="21"/>
      <c r="M24" s="37" t="s">
        <v>37</v>
      </c>
    </row>
    <row r="25" spans="1:14" ht="18" customHeight="1">
      <c r="A25" s="18"/>
      <c r="B25" s="22" t="s">
        <v>84</v>
      </c>
      <c r="C25" s="5"/>
      <c r="D25" s="58">
        <f>D28/D8</f>
        <v>11514.787569434018</v>
      </c>
      <c r="E25" s="41"/>
      <c r="F25" s="188" t="s">
        <v>6</v>
      </c>
      <c r="G25" s="79"/>
      <c r="H25" s="191" t="s">
        <v>104</v>
      </c>
      <c r="I25" s="192"/>
      <c r="J25" s="191" t="s">
        <v>105</v>
      </c>
      <c r="K25" s="192"/>
      <c r="L25" s="21"/>
      <c r="M25" s="37">
        <v>1</v>
      </c>
    </row>
    <row r="26" spans="1:14" ht="18" customHeight="1">
      <c r="A26" s="18"/>
      <c r="B26" s="75"/>
      <c r="C26" s="75"/>
      <c r="D26" s="75"/>
      <c r="E26" s="19"/>
      <c r="F26" s="189"/>
      <c r="G26" s="80"/>
      <c r="H26" s="193"/>
      <c r="I26" s="194"/>
      <c r="J26" s="193"/>
      <c r="K26" s="194"/>
      <c r="L26" s="20"/>
      <c r="M26" s="133" t="s">
        <v>55</v>
      </c>
    </row>
    <row r="27" spans="1:14" ht="18" customHeight="1">
      <c r="A27" s="17"/>
      <c r="B27" s="149" t="s">
        <v>42</v>
      </c>
      <c r="C27" s="150"/>
      <c r="D27" s="151"/>
      <c r="E27" s="19"/>
      <c r="F27" s="189"/>
      <c r="G27" s="80"/>
      <c r="H27" s="193"/>
      <c r="I27" s="194"/>
      <c r="J27" s="193"/>
      <c r="K27" s="194"/>
      <c r="L27" s="20"/>
      <c r="M27" s="133" t="s">
        <v>50</v>
      </c>
    </row>
    <row r="28" spans="1:14" ht="18" customHeight="1">
      <c r="A28" s="17"/>
      <c r="B28" s="98" t="s">
        <v>60</v>
      </c>
      <c r="C28" s="99"/>
      <c r="D28" s="59">
        <f>790000-D33</f>
        <v>767000</v>
      </c>
      <c r="E28" s="18"/>
      <c r="F28" s="189"/>
      <c r="G28" s="80"/>
      <c r="H28" s="193"/>
      <c r="I28" s="194"/>
      <c r="J28" s="193"/>
      <c r="K28" s="194"/>
      <c r="L28" s="20"/>
      <c r="M28" s="92">
        <f>IF(J6=M26,0,1)</f>
        <v>1</v>
      </c>
    </row>
    <row r="29" spans="1:14" ht="18" customHeight="1">
      <c r="A29" s="17"/>
      <c r="B29" s="135" t="s">
        <v>25</v>
      </c>
      <c r="C29" s="25"/>
      <c r="D29" s="58">
        <f>IF(M21=2, 0, D28*2%)</f>
        <v>15340</v>
      </c>
      <c r="E29" s="17"/>
      <c r="F29" s="190"/>
      <c r="G29" s="80"/>
      <c r="H29" s="195"/>
      <c r="I29" s="196"/>
      <c r="J29" s="195"/>
      <c r="K29" s="196"/>
      <c r="L29" s="20"/>
      <c r="M29" s="134" t="s">
        <v>66</v>
      </c>
    </row>
    <row r="30" spans="1:14" ht="18" customHeight="1">
      <c r="A30" s="17"/>
      <c r="B30" s="49" t="s">
        <v>40</v>
      </c>
      <c r="C30" s="25"/>
      <c r="D30" s="51">
        <f>(1010+((D28-60000)*0.004))/2*1.23+IF(M11=1, 200+246+60, 200+246)+300</f>
        <v>3106.37</v>
      </c>
      <c r="E30" s="18"/>
      <c r="F30" s="52" t="s">
        <v>44</v>
      </c>
      <c r="G30" s="45"/>
      <c r="H30" s="69">
        <v>0</v>
      </c>
      <c r="I30" s="85" t="str">
        <f>IF(H30=1,"tydzień",IF(AND(H30&lt;5,H30&gt;1),"tygodnie",IF(H30&gt;9,"WTF!?!","tygodni")))</f>
        <v>tygodni</v>
      </c>
      <c r="J30" s="69">
        <v>1</v>
      </c>
      <c r="K30" s="85" t="str">
        <f>IF(J30=1,"tydzień",IF(AND(J30&lt;5,J30&gt;1),"tygodnie",IF(J30&gt;9,"WTF!?!","tygodni")))</f>
        <v>tydzień</v>
      </c>
      <c r="L30" s="21"/>
      <c r="M30" s="134" t="s">
        <v>37</v>
      </c>
    </row>
    <row r="31" spans="1:14" ht="18" customHeight="1">
      <c r="A31" s="17"/>
      <c r="B31" s="36" t="s">
        <v>8</v>
      </c>
      <c r="C31" s="124"/>
      <c r="D31" s="51">
        <v>0</v>
      </c>
      <c r="E31" s="18"/>
      <c r="F31" s="68"/>
      <c r="G31" s="68"/>
      <c r="H31" s="68"/>
      <c r="I31" s="68"/>
      <c r="J31" s="68"/>
      <c r="K31" s="68"/>
      <c r="L31" s="21"/>
    </row>
    <row r="32" spans="1:14" ht="18" customHeight="1">
      <c r="A32" s="17"/>
      <c r="B32" s="26" t="s">
        <v>4</v>
      </c>
      <c r="C32" s="25"/>
      <c r="D32" s="51">
        <v>0</v>
      </c>
      <c r="E32" s="18"/>
      <c r="F32" s="157" t="s">
        <v>69</v>
      </c>
      <c r="G32" s="158"/>
      <c r="H32" s="198">
        <f>(H18+H20-H14-H24/12)*12/$D$35*100</f>
        <v>8.1188415751065843</v>
      </c>
      <c r="I32" s="199"/>
      <c r="J32" s="187">
        <f>(J18+J20-H14-H24/12)*12/$D$35*100</f>
        <v>8.2969609969304479</v>
      </c>
      <c r="K32" s="187"/>
      <c r="L32" s="21"/>
      <c r="M32" s="6" t="str">
        <f>IF(M11=3,M29,M30)</f>
        <v>własność</v>
      </c>
      <c r="N32" s="1" t="s">
        <v>89</v>
      </c>
    </row>
    <row r="33" spans="1:14" ht="18" customHeight="1">
      <c r="A33" s="17"/>
      <c r="B33" s="26" t="s">
        <v>32</v>
      </c>
      <c r="C33" s="25"/>
      <c r="D33" s="51">
        <v>23000</v>
      </c>
      <c r="E33" s="18"/>
      <c r="F33" s="165" t="s">
        <v>73</v>
      </c>
      <c r="G33" s="165"/>
      <c r="H33" s="166">
        <f>((H18+H20)*(1-(H30/52))-H14-H24/12)*12/$D$35*100</f>
        <v>8.1188415751065843</v>
      </c>
      <c r="I33" s="167"/>
      <c r="J33" s="168">
        <f>((J18+J20)*(1-(J30/52))-H14-H24/12)*12/$D$35*100</f>
        <v>8.1051400811201333</v>
      </c>
      <c r="K33" s="168"/>
      <c r="L33" s="20"/>
      <c r="M33" s="6" t="str">
        <f>IF(M11&gt;1,M24,M22)</f>
        <v>nie dotyczy</v>
      </c>
      <c r="N33" s="1" t="s">
        <v>90</v>
      </c>
    </row>
    <row r="34" spans="1:14" ht="18" customHeight="1">
      <c r="A34" s="17"/>
      <c r="B34" s="24" t="s">
        <v>13</v>
      </c>
      <c r="C34" s="25"/>
      <c r="D34" s="51">
        <v>0</v>
      </c>
      <c r="E34" s="18"/>
      <c r="F34" s="155" t="s">
        <v>74</v>
      </c>
      <c r="G34" s="156"/>
      <c r="H34" s="171">
        <f>(H18+H20-H14-H24/12-H23)*12/$D$35*100</f>
        <v>8.1188415751065843</v>
      </c>
      <c r="I34" s="172"/>
      <c r="J34" s="166">
        <f>(J18+J20-H14-H24/12-J23)*12/$D$35*100</f>
        <v>8.2969609969304479</v>
      </c>
      <c r="K34" s="167"/>
      <c r="L34" s="21"/>
      <c r="M34" s="6">
        <f>IF(M7=3,1.5%, IF(M11=3,10%,2.5%))</f>
        <v>0.1</v>
      </c>
      <c r="N34" s="1" t="s">
        <v>91</v>
      </c>
    </row>
    <row r="35" spans="1:14" ht="18" customHeight="1">
      <c r="A35" s="18"/>
      <c r="B35" s="98" t="s">
        <v>2</v>
      </c>
      <c r="C35" s="100"/>
      <c r="D35" s="126">
        <f>D28+SUM(D29:D34)</f>
        <v>808446.37</v>
      </c>
      <c r="E35" s="18"/>
      <c r="F35" s="184" t="s">
        <v>76</v>
      </c>
      <c r="G35" s="185"/>
      <c r="H35" s="178">
        <f>((H18+H20)*(1-(H30/52))-H14-H24/12-H23*(1-(H30/52)))*12/$D$35*100</f>
        <v>8.1188415751065843</v>
      </c>
      <c r="I35" s="179"/>
      <c r="J35" s="180">
        <f>((J18+J20)*(1-(J30/52))-H14-H24/12-J23*(1-(J30/52)))*12/$D$35*100</f>
        <v>8.1051400811201333</v>
      </c>
      <c r="K35" s="181"/>
      <c r="L35" s="21"/>
      <c r="M35" s="6" t="e">
        <f>IF(#REF!=10%,19%,18%)</f>
        <v>#REF!</v>
      </c>
      <c r="N35" s="1" t="s">
        <v>92</v>
      </c>
    </row>
    <row r="36" spans="1:14" ht="18" customHeight="1">
      <c r="A36" s="18"/>
      <c r="B36" s="109" t="s">
        <v>45</v>
      </c>
      <c r="C36" s="110"/>
      <c r="D36" s="111">
        <f>D28+D32</f>
        <v>767000</v>
      </c>
      <c r="E36" s="18"/>
      <c r="F36" s="75"/>
      <c r="G36" s="75"/>
      <c r="H36" s="75"/>
      <c r="I36" s="75"/>
      <c r="J36" s="75"/>
      <c r="K36" s="48"/>
      <c r="L36" s="21"/>
      <c r="M36" s="6" t="s">
        <v>70</v>
      </c>
    </row>
    <row r="37" spans="1:14" ht="18" customHeight="1">
      <c r="A37" s="18"/>
      <c r="B37" s="112" t="s">
        <v>14</v>
      </c>
      <c r="C37" s="113"/>
      <c r="D37" s="59"/>
      <c r="E37" s="19"/>
      <c r="F37" s="149" t="s">
        <v>46</v>
      </c>
      <c r="G37" s="150"/>
      <c r="H37" s="150"/>
      <c r="I37" s="150"/>
      <c r="J37" s="150"/>
      <c r="K37" s="151"/>
      <c r="L37" s="20"/>
      <c r="M37" s="141">
        <v>8.5000000000000006E-2</v>
      </c>
    </row>
    <row r="38" spans="1:14" ht="18" customHeight="1">
      <c r="A38" s="18"/>
      <c r="B38" s="47"/>
      <c r="C38" s="47"/>
      <c r="D38" s="47"/>
      <c r="E38" s="19"/>
      <c r="F38" s="213" t="s">
        <v>101</v>
      </c>
      <c r="G38" s="214"/>
      <c r="H38" s="214"/>
      <c r="I38" s="214"/>
      <c r="J38" s="143">
        <v>8.5000000000000006E-2</v>
      </c>
      <c r="K38" s="140"/>
      <c r="L38" s="20"/>
      <c r="M38" s="142">
        <v>0.125</v>
      </c>
    </row>
    <row r="39" spans="1:14" ht="18" customHeight="1">
      <c r="A39" s="18"/>
      <c r="B39" s="137" t="s">
        <v>47</v>
      </c>
      <c r="C39" s="138"/>
      <c r="D39" s="139"/>
      <c r="E39" s="19"/>
      <c r="F39" s="32" t="s">
        <v>21</v>
      </c>
      <c r="G39" s="43"/>
      <c r="H39" s="220">
        <f>(H18+H20)*J38</f>
        <v>561</v>
      </c>
      <c r="I39" s="221"/>
      <c r="J39" s="222">
        <f>(J18+J20)*J38</f>
        <v>571.20000000000005</v>
      </c>
      <c r="K39" s="222"/>
      <c r="L39" s="20"/>
      <c r="M39" s="144">
        <v>0.12</v>
      </c>
    </row>
    <row r="40" spans="1:14" ht="18" customHeight="1">
      <c r="A40" s="18"/>
      <c r="B40" s="27" t="s">
        <v>15</v>
      </c>
      <c r="C40" s="60"/>
      <c r="D40" s="77">
        <v>30</v>
      </c>
      <c r="E40" s="19"/>
      <c r="F40" s="33" t="s">
        <v>22</v>
      </c>
      <c r="G40" s="44"/>
      <c r="H40" s="173">
        <f>(H18+H20-H39-H24/12)*(1-(H30/52))-$H$14-H23-$D$46</f>
        <v>4908.7066666666669</v>
      </c>
      <c r="I40" s="174"/>
      <c r="J40" s="173">
        <f>(J18+J20-J39-H24/12)*(1-(J30/52))-$H$14-J23-$D$46</f>
        <v>4900.6611538461539</v>
      </c>
      <c r="K40" s="174"/>
      <c r="L40" s="20"/>
      <c r="M40" s="144">
        <v>0.19</v>
      </c>
    </row>
    <row r="41" spans="1:14" ht="18" customHeight="1">
      <c r="A41" s="35"/>
      <c r="B41" s="28" t="s">
        <v>16</v>
      </c>
      <c r="C41" s="61"/>
      <c r="D41" s="73">
        <v>2.1000000000000001E-2</v>
      </c>
      <c r="E41" s="19"/>
      <c r="F41" s="96" t="s">
        <v>20</v>
      </c>
      <c r="G41" s="84"/>
      <c r="H41" s="95">
        <f>IF(AND($D$48&lt;0,H40&gt;0),"∞",IF(AND($D$48&lt;0,H40&lt;0),"hmmm...",IF(H40&lt;0,"hmmm...",H40*12/$D$48)))</f>
        <v>7.28613327808003E-2</v>
      </c>
      <c r="I41" s="71" t="str">
        <f>IF(H41="∞","",IF(100%/H41*12&lt;48,"("&amp;INT(100%/H41*12)&amp;" mies.)","("&amp;MROUND(100%/H41,0.1)&amp;" lat)"))</f>
        <v>(13,7 lat)</v>
      </c>
      <c r="J41" s="95">
        <f>IF(AND($D$48&lt;0,J40&gt;0),"∞",IF(AND($D$48&lt;0,J40&lt;0),"hmmm...",IF(J40&lt;0,"hmmm...",J40*12/$D$48)))</f>
        <v>7.274191093981143E-2</v>
      </c>
      <c r="K41" s="71" t="str">
        <f>IF(J41="∞","",IF(100%/J41*12&lt;48,"("&amp;INT(100%/J41*12)&amp;" mies.)","("&amp;MROUND(100%/J41,0.1)&amp;" lat)"))</f>
        <v>(13,7 lat)</v>
      </c>
      <c r="L41" s="20"/>
    </row>
    <row r="42" spans="1:14" ht="18" customHeight="1">
      <c r="A42" s="18"/>
      <c r="B42" s="28" t="s">
        <v>28</v>
      </c>
      <c r="C42" s="61"/>
      <c r="D42" s="73">
        <v>2.75E-2</v>
      </c>
      <c r="E42" s="34"/>
      <c r="F42" s="83" t="s">
        <v>82</v>
      </c>
      <c r="G42" s="84"/>
      <c r="H42" s="223">
        <f>12*((H18+H20-H39-H24/12)*(1-(H30/52))-$H$14-H23-$D$46)</f>
        <v>58904.480000000003</v>
      </c>
      <c r="I42" s="224"/>
      <c r="J42" s="223">
        <f>12*((J18+J20-J39-H24/12)*(1-(J30/52))-$H$14-J23-$D$46)</f>
        <v>58807.933846153843</v>
      </c>
      <c r="K42" s="224"/>
      <c r="L42" s="20"/>
    </row>
    <row r="43" spans="1:14" ht="18" customHeight="1">
      <c r="A43" s="18"/>
      <c r="B43" s="28" t="s">
        <v>17</v>
      </c>
      <c r="C43" s="61"/>
      <c r="D43" s="127">
        <f>D41+D42</f>
        <v>4.8500000000000001E-2</v>
      </c>
      <c r="E43" s="19"/>
      <c r="F43" s="225" t="s">
        <v>75</v>
      </c>
      <c r="G43" s="226"/>
      <c r="H43" s="226"/>
      <c r="I43" s="226"/>
      <c r="J43" s="226"/>
      <c r="K43" s="227"/>
      <c r="L43" s="20"/>
    </row>
    <row r="44" spans="1:14" ht="18" customHeight="1">
      <c r="A44" s="18"/>
      <c r="B44" s="29" t="s">
        <v>31</v>
      </c>
      <c r="C44" s="62"/>
      <c r="D44" s="74">
        <f>D45*2%</f>
        <v>0</v>
      </c>
      <c r="E44" s="19"/>
      <c r="F44" s="31" t="s">
        <v>33</v>
      </c>
      <c r="G44" s="145">
        <v>0.19</v>
      </c>
      <c r="H44" s="228">
        <f>(H18+H20-H24/12-$H$14-H23-$M$18)*($G$44+IF(G44=17%,9%,4.9%))</f>
        <v>1307.2598933333334</v>
      </c>
      <c r="I44" s="229"/>
      <c r="J44" s="228">
        <f>(J18+J20-H24/12-$H$14-J23-$M$18)*($G$44+IF(G44=17%,9%,4.9%))</f>
        <v>1335.9398933333334</v>
      </c>
      <c r="K44" s="229"/>
      <c r="L44" s="15"/>
    </row>
    <row r="45" spans="1:14" ht="18" customHeight="1">
      <c r="A45" s="18"/>
      <c r="B45" s="30" t="s">
        <v>19</v>
      </c>
      <c r="C45" s="63"/>
      <c r="D45" s="76">
        <f>D37*85%</f>
        <v>0</v>
      </c>
      <c r="E45" s="19"/>
      <c r="F45" s="82" t="s">
        <v>22</v>
      </c>
      <c r="G45" s="46"/>
      <c r="H45" s="218">
        <f>(H18+H20-H24/12)*(1-(H30/52))-$H$14-H23-$D$46-H44</f>
        <v>4162.4467733333331</v>
      </c>
      <c r="I45" s="219"/>
      <c r="J45" s="218">
        <f>(J18+J20-H24/12)*(1-(J30/52))-$H$14-J23-$D$46-J44</f>
        <v>4124.9366451282049</v>
      </c>
      <c r="K45" s="219"/>
      <c r="L45" s="15"/>
    </row>
    <row r="46" spans="1:14" ht="18" customHeight="1">
      <c r="A46" s="18"/>
      <c r="B46" s="114" t="s">
        <v>5</v>
      </c>
      <c r="C46" s="115"/>
      <c r="D46" s="128">
        <f>ABS(PMT(D43/12,D40*12,D45))</f>
        <v>0</v>
      </c>
      <c r="E46" s="41"/>
      <c r="F46" s="82" t="s">
        <v>20</v>
      </c>
      <c r="G46" s="45"/>
      <c r="H46" s="97">
        <f>IF(AND($D$48&lt;0,H45&gt;0),"∞",IF(AND($D$48&lt;0,H45&lt;0),"hmmm...",IF(H45&lt;0,"hmmm...",H45*12/$D$48)))</f>
        <v>6.17843843865611E-2</v>
      </c>
      <c r="I46" s="70" t="str">
        <f>IF(H46="∞","",IF(100%/H46*12&lt;48,"("&amp;INT(100%/H46*12)&amp;" mies.)","("&amp;MROUND(100%/H46,0.1)&amp;" lat)"))</f>
        <v>(16,2 lat)</v>
      </c>
      <c r="J46" s="97">
        <f>IF(AND($D$48&lt;0,J45&gt;0),"∞",IF(AND($D$48&lt;0,J45&lt;0),"hmmm...",IF(J45&lt;0,"hmmm...",J45*12/$D$48)))</f>
        <v>6.122761085752474E-2</v>
      </c>
      <c r="K46" s="70" t="str">
        <f>IF(J46="∞","",IF(100%/J46*12&lt;48,"("&amp;INT(100%/J46*12)&amp;" mies.)","("&amp;MROUND(100%/J46,0.1)&amp;" lat)"))</f>
        <v>(16,3 lat)</v>
      </c>
      <c r="L46" s="34"/>
      <c r="M46" s="6" t="s">
        <v>70</v>
      </c>
    </row>
    <row r="47" spans="1:14" ht="18" customHeight="1">
      <c r="A47" s="18"/>
      <c r="B47" s="116" t="s">
        <v>18</v>
      </c>
      <c r="C47" s="117"/>
      <c r="D47" s="129">
        <f>D35+D44</f>
        <v>808446.37</v>
      </c>
      <c r="E47" s="41"/>
      <c r="F47" s="31" t="s">
        <v>102</v>
      </c>
      <c r="G47" s="45"/>
      <c r="H47" s="215">
        <f>12*((H18+H20-H24/12)*(1-(H30/52))-$H$14-H23-$D$46-H44)+$D$33*$G$44</f>
        <v>54319.361279999997</v>
      </c>
      <c r="I47" s="216"/>
      <c r="J47" s="215">
        <f>12*((J18+J20-H24/12)*(1-(J30/52))-$H$14-J23-$D$46-J44)+$D$33*$G$44</f>
        <v>53869.239741538462</v>
      </c>
      <c r="K47" s="216"/>
      <c r="L47" s="34"/>
    </row>
    <row r="48" spans="1:14" ht="18" customHeight="1">
      <c r="A48" s="18"/>
      <c r="B48" s="116" t="s">
        <v>27</v>
      </c>
      <c r="C48" s="117"/>
      <c r="D48" s="130">
        <f>D47-D45</f>
        <v>808446.37</v>
      </c>
      <c r="E48" s="15"/>
      <c r="F48" s="31" t="s">
        <v>103</v>
      </c>
      <c r="G48" s="45"/>
      <c r="H48" s="215">
        <f>12*((H18+H20-H24/12)*(1-(H30/52))-$H$14-H23-$D$46-H44)</f>
        <v>49949.361279999997</v>
      </c>
      <c r="I48" s="216"/>
      <c r="J48" s="215">
        <f>12*((J18+J20-H24/12)*(1-(J30/52))-$H$14-J23-$D$46-J44)</f>
        <v>49499.239741538462</v>
      </c>
      <c r="K48" s="216"/>
      <c r="L48" s="34"/>
    </row>
    <row r="49" spans="1:12" ht="18" customHeight="1">
      <c r="A49" s="35"/>
      <c r="B49" s="120"/>
      <c r="C49" s="120"/>
      <c r="D49" s="120"/>
      <c r="E49" s="48"/>
      <c r="F49" s="120"/>
      <c r="G49" s="48"/>
      <c r="H49" s="120"/>
      <c r="I49" s="120"/>
      <c r="J49" s="120"/>
      <c r="K49" s="48"/>
      <c r="L49" s="34"/>
    </row>
    <row r="50" spans="1:12" ht="18" customHeight="1">
      <c r="A50" s="123"/>
      <c r="B50" s="217" t="s">
        <v>108</v>
      </c>
      <c r="C50" s="217"/>
      <c r="D50" s="217"/>
      <c r="E50" s="217"/>
      <c r="F50" s="217"/>
      <c r="G50" s="212" t="s">
        <v>97</v>
      </c>
      <c r="H50" s="212"/>
      <c r="I50" s="212"/>
      <c r="J50" s="212"/>
      <c r="K50" s="136"/>
      <c r="L50" s="34"/>
    </row>
    <row r="51" spans="1:12" ht="15" hidden="1" customHeight="1"/>
    <row r="52" spans="1:12" ht="15" hidden="1" customHeight="1"/>
    <row r="53" spans="1:12" ht="15" hidden="1" customHeight="1"/>
    <row r="54" spans="1:12" ht="15" hidden="1" customHeight="1"/>
    <row r="55" spans="1:12" ht="15" hidden="1" customHeight="1"/>
    <row r="56" spans="1:12" ht="15" hidden="1" customHeight="1"/>
    <row r="57" spans="1:12" ht="15" hidden="1" customHeight="1"/>
    <row r="58" spans="1:12" ht="15" hidden="1" customHeight="1"/>
    <row r="59" spans="1:12" ht="15" hidden="1" customHeight="1"/>
    <row r="60" spans="1:12" ht="15" hidden="1" customHeight="1"/>
    <row r="61" spans="1:12" ht="15" hidden="1" customHeight="1"/>
  </sheetData>
  <sheetProtection algorithmName="SHA-512" hashValue="m1t91EK9hkKXiajaiZuVeM9mMYAFqptcmVWwqUWg1VOCU+kuYtUuYYbx8YmDvXlB3HxZx4ydEXaKQBa277eLzA==" saltValue="YvAi+AHmbmGtiVqNc7Yl1Q==" spinCount="100000" sheet="1" objects="1" scenarios="1"/>
  <customSheetViews>
    <customSheetView guid="{5C97960D-1A0F-42A4-942F-A6E68C8CF6BC}" showGridLines="0" showRowCol="0" hiddenRows="1" hiddenColumns="1" topLeftCell="A4">
      <selection activeCell="H30" sqref="H30"/>
      <pageMargins left="0.39370078740157483" right="0.39370078740157483" top="0.39370078740157483" bottom="0.39370078740157483" header="0" footer="0"/>
      <pageSetup paperSize="9" orientation="portrait" horizontalDpi="300" r:id="rId1"/>
    </customSheetView>
  </customSheetViews>
  <mergeCells count="67">
    <mergeCell ref="G50:J50"/>
    <mergeCell ref="F38:I38"/>
    <mergeCell ref="H48:I48"/>
    <mergeCell ref="J48:K48"/>
    <mergeCell ref="B50:F50"/>
    <mergeCell ref="H45:I45"/>
    <mergeCell ref="H39:I39"/>
    <mergeCell ref="J39:K39"/>
    <mergeCell ref="H42:I42"/>
    <mergeCell ref="J42:K42"/>
    <mergeCell ref="H47:I47"/>
    <mergeCell ref="J47:K47"/>
    <mergeCell ref="F43:K43"/>
    <mergeCell ref="J45:K45"/>
    <mergeCell ref="H44:I44"/>
    <mergeCell ref="J44:K44"/>
    <mergeCell ref="K4:K5"/>
    <mergeCell ref="H14:K14"/>
    <mergeCell ref="F5:G5"/>
    <mergeCell ref="F6:G6"/>
    <mergeCell ref="F7:G7"/>
    <mergeCell ref="F8:G8"/>
    <mergeCell ref="I4:J5"/>
    <mergeCell ref="F9:G9"/>
    <mergeCell ref="F10:G10"/>
    <mergeCell ref="H10:I10"/>
    <mergeCell ref="H22:I22"/>
    <mergeCell ref="J21:K21"/>
    <mergeCell ref="J22:K22"/>
    <mergeCell ref="J32:K32"/>
    <mergeCell ref="F25:F29"/>
    <mergeCell ref="H25:I29"/>
    <mergeCell ref="J25:K29"/>
    <mergeCell ref="H24:K24"/>
    <mergeCell ref="H32:I32"/>
    <mergeCell ref="F37:K37"/>
    <mergeCell ref="H34:I34"/>
    <mergeCell ref="H40:I40"/>
    <mergeCell ref="B27:D27"/>
    <mergeCell ref="B17:B24"/>
    <mergeCell ref="D21:D24"/>
    <mergeCell ref="J40:K40"/>
    <mergeCell ref="H35:I35"/>
    <mergeCell ref="J35:K35"/>
    <mergeCell ref="J34:K34"/>
    <mergeCell ref="H21:I21"/>
    <mergeCell ref="H23:I23"/>
    <mergeCell ref="F35:G35"/>
    <mergeCell ref="J19:K19"/>
    <mergeCell ref="H20:I20"/>
    <mergeCell ref="J20:K20"/>
    <mergeCell ref="A1:L1"/>
    <mergeCell ref="B3:D3"/>
    <mergeCell ref="F3:K3"/>
    <mergeCell ref="D18:D19"/>
    <mergeCell ref="F34:G34"/>
    <mergeCell ref="F32:G32"/>
    <mergeCell ref="H17:I17"/>
    <mergeCell ref="H18:I18"/>
    <mergeCell ref="F16:K16"/>
    <mergeCell ref="J17:K17"/>
    <mergeCell ref="J18:K18"/>
    <mergeCell ref="H19:I19"/>
    <mergeCell ref="F33:G33"/>
    <mergeCell ref="H33:I33"/>
    <mergeCell ref="J33:K33"/>
    <mergeCell ref="J23:K23"/>
  </mergeCells>
  <dataValidations count="14">
    <dataValidation type="list" allowBlank="1" showInputMessage="1" showErrorMessage="1" error="podatek dochodowy musi się zawierać między 17% a 36%" sqref="G44" xr:uid="{00000000-0002-0000-0000-000001000000}">
      <formula1>$M$39:$M$40</formula1>
    </dataValidation>
    <dataValidation type="decimal" allowBlank="1" showInputMessage="1" showErrorMessage="1" sqref="G21" xr:uid="{00000000-0002-0000-0000-000002000000}">
      <formula1>0</formula1>
      <formula2>0.3</formula2>
    </dataValidation>
    <dataValidation type="decimal" allowBlank="1" showInputMessage="1" showErrorMessage="1" sqref="G22" xr:uid="{00000000-0002-0000-0000-000003000000}">
      <formula1>0</formula1>
      <formula2>2</formula2>
    </dataValidation>
    <dataValidation type="list" allowBlank="1" showInputMessage="1" showErrorMessage="1" prompt="wybierz odpowiednią opcję z listy" sqref="D10" xr:uid="{00000000-0002-0000-0000-000004000000}">
      <formula1>$M$22:$M$24</formula1>
    </dataValidation>
    <dataValidation type="list" allowBlank="1" showInputMessage="1" showErrorMessage="1" prompt="wybierz odpowiednią opcję z listy" sqref="D7" xr:uid="{00000000-0002-0000-0000-000005000000}">
      <formula1>$M$8:$M$10</formula1>
    </dataValidation>
    <dataValidation type="list" allowBlank="1" showInputMessage="1" showErrorMessage="1" prompt="wybierz odpowiednią opcję z listy" sqref="B29" xr:uid="{00000000-0002-0000-0000-000006000000}">
      <formula1>$M$19:$M$20</formula1>
    </dataValidation>
    <dataValidation type="decimal" operator="greaterThan" allowBlank="1" showInputMessage="1" showErrorMessage="1" sqref="D8" xr:uid="{00000000-0002-0000-0000-000007000000}">
      <formula1>15</formula1>
    </dataValidation>
    <dataValidation type="whole" allowBlank="1" showInputMessage="1" showErrorMessage="1" sqref="D11" xr:uid="{00000000-0002-0000-0000-000008000000}">
      <formula1>1</formula1>
      <formula2>49</formula2>
    </dataValidation>
    <dataValidation type="whole" allowBlank="1" showInputMessage="1" showErrorMessage="1" sqref="D13" xr:uid="{00000000-0002-0000-0000-000009000000}">
      <formula1>1</formula1>
      <formula2>99</formula2>
    </dataValidation>
    <dataValidation type="list" allowBlank="1" showInputMessage="1" showErrorMessage="1" prompt="wybierz odpowiednią opcję z listy" sqref="D5" xr:uid="{00000000-0002-0000-0000-00000A000000}">
      <formula1>$M$3:$M$6</formula1>
    </dataValidation>
    <dataValidation type="whole" allowBlank="1" showInputMessage="1" showErrorMessage="1" sqref="H19:K19" xr:uid="{00000000-0002-0000-0000-00000B000000}">
      <formula1>0</formula1>
      <formula2>999</formula2>
    </dataValidation>
    <dataValidation type="list" allowBlank="1" showInputMessage="1" showErrorMessage="1" sqref="J6:J13" xr:uid="{00000000-0002-0000-0000-00000C000000}">
      <formula1>$M$26:$M$27</formula1>
    </dataValidation>
    <dataValidation type="list" allowBlank="1" showInputMessage="1" showErrorMessage="1" prompt="wybierz odpowiednią opcję z listy" sqref="D9" xr:uid="{00000000-0002-0000-0000-00000D000000}">
      <formula1>$M$29:$M$30</formula1>
    </dataValidation>
    <dataValidation type="list" allowBlank="1" showInputMessage="1" showErrorMessage="1" sqref="J38" xr:uid="{08502BC4-4640-44A7-9EDF-671D7FE598AC}">
      <formula1>płaci_właściciel</formula1>
    </dataValidation>
  </dataValidations>
  <hyperlinks>
    <hyperlink ref="G50" r:id="rId2" xr:uid="{00000000-0004-0000-0000-000000000000}"/>
  </hyperlinks>
  <pageMargins left="0.19685039370078741" right="0.19685039370078741" top="0.19685039370078741" bottom="0.19685039370078741" header="0.31496062992125984" footer="0.31496062992125984"/>
  <pageSetup paperSize="9" scale="75" fitToWidth="0" orientation="landscape" r:id="rId3"/>
  <ignoredErrors>
    <ignoredError sqref="J19 K20 I20 H20 J20 M28 M7 M21 J7:J9 M11 J11:J13 M18 D10 D30 K18 I18 D44:D45" unlockedFormula="1"/>
    <ignoredError sqref="J22 J41 J46 K10" formula="1"/>
    <ignoredError sqref="I41 I46" evalError="1" formula="1"/>
    <ignoredError sqref="K41 K46" evalError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Analiza inwestycyjna</vt:lpstr>
      <vt:lpstr>płaci_właściciel</vt:lpstr>
    </vt:vector>
  </TitlesOfParts>
  <Manager/>
  <Company>Hryniewicz.pl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analiza inwestycyjna mieszkania</dc:title>
  <dc:creator>Piotr Hryniewicz</dc:creator>
  <cp:lastModifiedBy>Marta Wójcik</cp:lastModifiedBy>
  <cp:lastPrinted>2017-01-19T16:40:16Z</cp:lastPrinted>
  <dcterms:created xsi:type="dcterms:W3CDTF">2012-03-06T10:48:18Z</dcterms:created>
  <dcterms:modified xsi:type="dcterms:W3CDTF">2023-05-25T13:02:59Z</dcterms:modified>
</cp:coreProperties>
</file>